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<sst xmlns="http://schemas.openxmlformats.org/spreadsheetml/2006/main" uniqueCount="110">
  <si>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REPORTE DE VENTAS</t>
  </si>
  <si>
    <t>FECHA DE REPORTE:</t>
  </si>
  <si>
    <t>24/10/2020</t>
  </si>
  <si>
    <t>CRITERIO DE FILTRO:</t>
  </si>
  <si>
    <t>RANGO DE FECHAS:</t>
  </si>
  <si>
    <t>Desde 01/09/2020 hasta 30/09/2020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</si>
  <si>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</si>
  <si>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</si>
  <si>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</si>
  <si>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</si>
  <si>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</si>
  <si>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</si>
  <si>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</si>
  <si>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</si>
  <si>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</si>
  <si>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</si>
  <si>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</si>
  <si>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</si>
  <si>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</si>
  <si>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</si>
  <si>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</si>
  <si>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</si>
  <si>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</si>
  <si>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</si>
  <si>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</si>
  <si>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</si>
  <si>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</si>
  <si>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</si>
  <si>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</si>
  <si>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</si>
  <si>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</si>
  <si>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</si>
  <si>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01/09/2020</t>
  </si>
  <si>
    <t>03</t>
  </si>
  <si>
    <t>B001</t>
  </si>
  <si>
    <t>VARIOS</t>
  </si>
  <si>
    <t>01</t>
  </si>
  <si>
    <t>F001</t>
  </si>
  <si>
    <t>FEBRE URIARTE WILTER JEFFRY</t>
  </si>
  <si>
    <t>FARMACIAS PERUANAS S.A.C.</t>
  </si>
  <si>
    <t>SERVICIOS DIGITALES S.A.C.</t>
  </si>
  <si>
    <t>RED MOVIL TELECOMUNICACIONES PERU E.I.R.L.</t>
  </si>
  <si>
    <t>AS PRODUCTS E.I.R.L.</t>
  </si>
  <si>
    <t>02/09/2020</t>
  </si>
  <si>
    <t>RJS CORPORATION &amp; NEGOCIOS S.A.C.</t>
  </si>
  <si>
    <t>03/09/2020</t>
  </si>
  <si>
    <t>04/09/2020</t>
  </si>
  <si>
    <t>AMERICA S.A.C.</t>
  </si>
  <si>
    <t>05/09/2020</t>
  </si>
  <si>
    <t>PISFIL LEON PEDRO MANUEL</t>
  </si>
  <si>
    <t>EDUARDO VALDIVIESO E.I.R.L.</t>
  </si>
  <si>
    <t>OPTIMAVER SOCIEDAD ANONIMA CERRADA</t>
  </si>
  <si>
    <t>07/09/2020</t>
  </si>
  <si>
    <t>SANCHEZ CELIS MARIA SARITA RAQUEL</t>
  </si>
  <si>
    <t>FORMULARIOS CONTINUOS ROSARIO E.I.R.L.</t>
  </si>
  <si>
    <t>ZAMORA FERNANDEZ SILVIA ELIZABETH</t>
  </si>
  <si>
    <t>08/09/2020</t>
  </si>
  <si>
    <t>GUTIERREZ SOTO MIGUEL ALBERTO</t>
  </si>
  <si>
    <t>09/09/2020</t>
  </si>
  <si>
    <t>10/09/2020</t>
  </si>
  <si>
    <t>DISTRIBUIDORA JUSTY Y JAIMITO E.I.R.L.</t>
  </si>
  <si>
    <t>11/09/2020</t>
  </si>
  <si>
    <t>12/09/2020</t>
  </si>
  <si>
    <t>14/09/2020</t>
  </si>
  <si>
    <t>15/09/2020</t>
  </si>
  <si>
    <t>16/09/2020</t>
  </si>
  <si>
    <t>INVERSIONES &amp; COMERCIALIZACION DEL NORTE S.A.C.</t>
  </si>
  <si>
    <t>ESTUDIO G&amp;M ABOGADOS ASESORES &amp; CONSULTORES S.R.L.</t>
  </si>
  <si>
    <t>17/09/2020</t>
  </si>
  <si>
    <t>INDUSTRIA Y COMERCIO LAMBAYEQUE E.I.R.L.</t>
  </si>
  <si>
    <t>INDUSTRIAS &amp; DERIVADOS SOCIEDAD ANONIMA CERRADA</t>
  </si>
  <si>
    <t>18/09/2020</t>
  </si>
  <si>
    <t>19/09/2020</t>
  </si>
  <si>
    <t>ELITE SECURITY S.A.C.</t>
  </si>
  <si>
    <t>21/09/2020</t>
  </si>
  <si>
    <t>VARGAS GARIZA JOSE VICTORIANO</t>
  </si>
  <si>
    <t>AGUINAGA CHIROQUE JOSE SEGUNDO</t>
  </si>
  <si>
    <t>DIEBOLD NIXDORF PERU S.R.L.</t>
  </si>
  <si>
    <t>22/09/2020</t>
  </si>
  <si>
    <t>23/09/2020</t>
  </si>
  <si>
    <t>SERVICIOS GOU S.A.C.</t>
  </si>
  <si>
    <t>SILVA DIAZ YODALIS DEL CARMEN</t>
  </si>
  <si>
    <t>24/09/2020</t>
  </si>
  <si>
    <t>25/09/2020</t>
  </si>
  <si>
    <t>26/09/2020</t>
  </si>
  <si>
    <t>27/09/2020</t>
  </si>
  <si>
    <t>28/09/2020</t>
  </si>
  <si>
    <t>CONSORCIO TRANSMANTARO S.A.</t>
  </si>
  <si>
    <t>MHB LOGISTICA GENERALES E.I.R.L.</t>
  </si>
  <si>
    <t>PROMOCION DE SERVICIOS VARIOS S.A.C.</t>
  </si>
  <si>
    <t>BULNES SALCEDO EDUARDO MARTIN</t>
  </si>
  <si>
    <t>29/09/2020</t>
  </si>
  <si>
    <t>AGROAPICOLA LA REYNA E.I.R.L</t>
  </si>
  <si>
    <t>PURIZACA PINGO MARTHA</t>
  </si>
  <si>
    <t>ACM CONSULTORA Y CONSTRUCTORA E.I.R.L.</t>
  </si>
  <si>
    <t>30/09/2020</t>
  </si>
  <si>
    <t>CASTILLO BANCALLAN LIZANDRO JESUS</t>
  </si>
  <si>
    <t>CARRASCO GARCIA MARIA ELENA</t>
  </si>
  <si>
    <t>VIETTEL  PERU  S.A.C.</t>
  </si>
  <si>
    <t>CONSORCIO HOSPITAL PIURA</t>
  </si>
  <si>
    <t>EL CORPORATIVO D&amp;C VIDRIOS ALUMINIOS EIRL.</t>
  </si>
  <si>
    <t>07</t>
  </si>
  <si>
    <t>0000700</t>
  </si>
  <si>
    <t>0000824</t>
  </si>
  <si>
    <t>0001040</t>
  </si>
  <si>
    <t>0001202</t>
  </si>
  <si>
    <t>0002233</t>
  </si>
  <si>
    <t>0002363</t>
  </si>
  <si>
    <t>0002453</t>
  </si>
  <si>
    <t>0002879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</si>
</sst>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419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"0000343"</f>
        <v>0000343</v>
      </c>
      <c r="G8">
        <v>1</v>
      </c>
      <c r="H8" t="str">
        <f>"00000000"</f>
        <v>00000000</v>
      </c>
      <c r="I8" t="s">
        <v>35</v>
      </c>
      <c r="J8"/>
      <c r="K8">
        <v>4.24</v>
      </c>
      <c r="L8">
        <v>0.0</v>
      </c>
      <c r="M8"/>
      <c r="N8"/>
      <c r="O8">
        <v>0.76</v>
      </c>
      <c r="P8">
        <v>0.0</v>
      </c>
      <c r="Q8">
        <v>5.0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"0000344"</f>
        <v>0000344</v>
      </c>
      <c r="G9">
        <v>1</v>
      </c>
      <c r="H9" t="str">
        <f>"00000000"</f>
        <v>00000000</v>
      </c>
      <c r="I9" t="s">
        <v>35</v>
      </c>
      <c r="J9"/>
      <c r="K9">
        <v>1.3</v>
      </c>
      <c r="L9">
        <v>0.0</v>
      </c>
      <c r="M9"/>
      <c r="N9"/>
      <c r="O9">
        <v>0.23</v>
      </c>
      <c r="P9">
        <v>0.0</v>
      </c>
      <c r="Q9">
        <v>1.54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"0000345"</f>
        <v>0000345</v>
      </c>
      <c r="G10">
        <v>1</v>
      </c>
      <c r="H10" t="str">
        <f>"00000000"</f>
        <v>00000000</v>
      </c>
      <c r="I10" t="s">
        <v>35</v>
      </c>
      <c r="J10"/>
      <c r="K10">
        <v>1.12</v>
      </c>
      <c r="L10">
        <v>0.0</v>
      </c>
      <c r="M10"/>
      <c r="N10"/>
      <c r="O10">
        <v>0.2</v>
      </c>
      <c r="P10">
        <v>0.0</v>
      </c>
      <c r="Q10">
        <v>1.32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"0000346"</f>
        <v>0000346</v>
      </c>
      <c r="G11">
        <v>1</v>
      </c>
      <c r="H11" t="str">
        <f>"00000000"</f>
        <v>00000000</v>
      </c>
      <c r="I11" t="s">
        <v>35</v>
      </c>
      <c r="J11"/>
      <c r="K11">
        <v>2.54</v>
      </c>
      <c r="L11">
        <v>0.0</v>
      </c>
      <c r="M11"/>
      <c r="N11"/>
      <c r="O11">
        <v>0.46</v>
      </c>
      <c r="P11">
        <v>0.0</v>
      </c>
      <c r="Q11">
        <v>3.0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"0000347"</f>
        <v>0000347</v>
      </c>
      <c r="G12">
        <v>1</v>
      </c>
      <c r="H12" t="str">
        <f>"00000000"</f>
        <v>00000000</v>
      </c>
      <c r="I12" t="s">
        <v>35</v>
      </c>
      <c r="J12"/>
      <c r="K12">
        <v>10.27</v>
      </c>
      <c r="L12">
        <v>0.0</v>
      </c>
      <c r="M12"/>
      <c r="N12"/>
      <c r="O12">
        <v>1.85</v>
      </c>
      <c r="P12">
        <v>0.0</v>
      </c>
      <c r="Q12">
        <v>12.11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"0000348"</f>
        <v>0000348</v>
      </c>
      <c r="G13">
        <v>1</v>
      </c>
      <c r="H13" t="str">
        <f>"00000000"</f>
        <v>00000000</v>
      </c>
      <c r="I13" t="s">
        <v>35</v>
      </c>
      <c r="J13"/>
      <c r="K13">
        <v>14.14</v>
      </c>
      <c r="L13">
        <v>0.0</v>
      </c>
      <c r="M13"/>
      <c r="N13"/>
      <c r="O13">
        <v>2.55</v>
      </c>
      <c r="P13">
        <v>0.0</v>
      </c>
      <c r="Q13">
        <v>16.68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"0000349"</f>
        <v>0000349</v>
      </c>
      <c r="G14">
        <v>1</v>
      </c>
      <c r="H14" t="str">
        <f>"00000000"</f>
        <v>00000000</v>
      </c>
      <c r="I14" t="s">
        <v>35</v>
      </c>
      <c r="J14"/>
      <c r="K14">
        <v>11.53</v>
      </c>
      <c r="L14">
        <v>0.0</v>
      </c>
      <c r="M14"/>
      <c r="N14"/>
      <c r="O14">
        <v>2.07</v>
      </c>
      <c r="P14">
        <v>0.2</v>
      </c>
      <c r="Q14">
        <v>13.8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"0000350"</f>
        <v>0000350</v>
      </c>
      <c r="G15">
        <v>1</v>
      </c>
      <c r="H15" t="str">
        <f>"00000000"</f>
        <v>00000000</v>
      </c>
      <c r="I15" t="s">
        <v>35</v>
      </c>
      <c r="J15"/>
      <c r="K15">
        <v>9.84</v>
      </c>
      <c r="L15">
        <v>0.0</v>
      </c>
      <c r="M15"/>
      <c r="N15"/>
      <c r="O15">
        <v>1.77</v>
      </c>
      <c r="P15">
        <v>0.0</v>
      </c>
      <c r="Q15">
        <v>11.61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"0000351"</f>
        <v>0000351</v>
      </c>
      <c r="G16">
        <v>1</v>
      </c>
      <c r="H16" t="str">
        <f>"00000000"</f>
        <v>00000000</v>
      </c>
      <c r="I16" t="s">
        <v>35</v>
      </c>
      <c r="J16"/>
      <c r="K16">
        <v>102.91</v>
      </c>
      <c r="L16">
        <v>0.0</v>
      </c>
      <c r="M16"/>
      <c r="N16"/>
      <c r="O16">
        <v>18.52</v>
      </c>
      <c r="P16">
        <v>0.4</v>
      </c>
      <c r="Q16">
        <v>121.84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"0000352"</f>
        <v>0000352</v>
      </c>
      <c r="G17">
        <v>1</v>
      </c>
      <c r="H17" t="str">
        <f>"00000000"</f>
        <v>00000000</v>
      </c>
      <c r="I17" t="s">
        <v>35</v>
      </c>
      <c r="J17"/>
      <c r="K17">
        <v>14.99</v>
      </c>
      <c r="L17">
        <v>0.0</v>
      </c>
      <c r="M17"/>
      <c r="N17"/>
      <c r="O17">
        <v>2.7</v>
      </c>
      <c r="P17">
        <v>0.0</v>
      </c>
      <c r="Q17">
        <v>17.69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"0000353"</f>
        <v>0000353</v>
      </c>
      <c r="G18">
        <v>1</v>
      </c>
      <c r="H18" t="str">
        <f>"00000000"</f>
        <v>00000000</v>
      </c>
      <c r="I18" t="s">
        <v>35</v>
      </c>
      <c r="J18"/>
      <c r="K18">
        <v>4.15</v>
      </c>
      <c r="L18">
        <v>0.0</v>
      </c>
      <c r="M18"/>
      <c r="N18"/>
      <c r="O18">
        <v>0.75</v>
      </c>
      <c r="P18">
        <v>0.0</v>
      </c>
      <c r="Q18">
        <v>4.9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"0000354"</f>
        <v>0000354</v>
      </c>
      <c r="G19">
        <v>1</v>
      </c>
      <c r="H19" t="str">
        <f>"00000000"</f>
        <v>00000000</v>
      </c>
      <c r="I19" t="s">
        <v>35</v>
      </c>
      <c r="J19"/>
      <c r="K19">
        <v>75.28</v>
      </c>
      <c r="L19">
        <v>0.0</v>
      </c>
      <c r="M19"/>
      <c r="N19"/>
      <c r="O19">
        <v>13.55</v>
      </c>
      <c r="P19">
        <v>0.4</v>
      </c>
      <c r="Q19">
        <v>89.24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"0000355"</f>
        <v>0000355</v>
      </c>
      <c r="G20">
        <v>1</v>
      </c>
      <c r="H20" t="str">
        <f>"00000000"</f>
        <v>00000000</v>
      </c>
      <c r="I20" t="s">
        <v>35</v>
      </c>
      <c r="J20"/>
      <c r="K20">
        <v>4.66</v>
      </c>
      <c r="L20">
        <v>0.0</v>
      </c>
      <c r="M20"/>
      <c r="N20"/>
      <c r="O20">
        <v>0.84</v>
      </c>
      <c r="P20">
        <v>0.0</v>
      </c>
      <c r="Q20">
        <v>5.5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"0000356"</f>
        <v>0000356</v>
      </c>
      <c r="G21">
        <v>1</v>
      </c>
      <c r="H21" t="str">
        <f>"00000000"</f>
        <v>00000000</v>
      </c>
      <c r="I21" t="s">
        <v>35</v>
      </c>
      <c r="J21"/>
      <c r="K21">
        <v>18.24</v>
      </c>
      <c r="L21">
        <v>0.0</v>
      </c>
      <c r="M21"/>
      <c r="N21"/>
      <c r="O21">
        <v>3.28</v>
      </c>
      <c r="P21">
        <v>0.0</v>
      </c>
      <c r="Q21">
        <v>21.52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"0000357"</f>
        <v>0000357</v>
      </c>
      <c r="G22">
        <v>1</v>
      </c>
      <c r="H22" t="str">
        <f>"00000000"</f>
        <v>00000000</v>
      </c>
      <c r="I22" t="s">
        <v>35</v>
      </c>
      <c r="J22"/>
      <c r="K22">
        <v>2.12</v>
      </c>
      <c r="L22">
        <v>0.0</v>
      </c>
      <c r="M22"/>
      <c r="N22"/>
      <c r="O22">
        <v>0.38</v>
      </c>
      <c r="P22">
        <v>0.0</v>
      </c>
      <c r="Q22">
        <v>2.5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"0000358"</f>
        <v>0000358</v>
      </c>
      <c r="G23">
        <v>1</v>
      </c>
      <c r="H23" t="str">
        <f>"00000000"</f>
        <v>00000000</v>
      </c>
      <c r="I23" t="s">
        <v>35</v>
      </c>
      <c r="J23"/>
      <c r="K23">
        <v>9.71</v>
      </c>
      <c r="L23">
        <v>0.0</v>
      </c>
      <c r="M23"/>
      <c r="N23"/>
      <c r="O23">
        <v>1.75</v>
      </c>
      <c r="P23">
        <v>0.0</v>
      </c>
      <c r="Q23">
        <v>11.46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"0000359"</f>
        <v>0000359</v>
      </c>
      <c r="G24">
        <v>1</v>
      </c>
      <c r="H24" t="str">
        <f>"00000000"</f>
        <v>00000000</v>
      </c>
      <c r="I24" t="s">
        <v>35</v>
      </c>
      <c r="J24"/>
      <c r="K24">
        <v>12.71</v>
      </c>
      <c r="L24">
        <v>0.0</v>
      </c>
      <c r="M24"/>
      <c r="N24"/>
      <c r="O24">
        <v>2.29</v>
      </c>
      <c r="P24">
        <v>0.0</v>
      </c>
      <c r="Q24">
        <v>15.0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"0000360"</f>
        <v>0000360</v>
      </c>
      <c r="G25">
        <v>1</v>
      </c>
      <c r="H25" t="str">
        <f>"00000000"</f>
        <v>00000000</v>
      </c>
      <c r="I25" t="s">
        <v>35</v>
      </c>
      <c r="J25"/>
      <c r="K25">
        <v>65.28</v>
      </c>
      <c r="L25">
        <v>0.0</v>
      </c>
      <c r="M25"/>
      <c r="N25"/>
      <c r="O25">
        <v>11.75</v>
      </c>
      <c r="P25">
        <v>0.4</v>
      </c>
      <c r="Q25">
        <v>77.43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"0000361"</f>
        <v>0000361</v>
      </c>
      <c r="G26">
        <v>1</v>
      </c>
      <c r="H26" t="str">
        <f>"00000000"</f>
        <v>00000000</v>
      </c>
      <c r="I26" t="s">
        <v>35</v>
      </c>
      <c r="J26"/>
      <c r="K26">
        <v>31.0</v>
      </c>
      <c r="L26">
        <v>0.0</v>
      </c>
      <c r="M26"/>
      <c r="N26"/>
      <c r="O26">
        <v>5.58</v>
      </c>
      <c r="P26">
        <v>0.4</v>
      </c>
      <c r="Q26">
        <v>36.97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"0000362"</f>
        <v>0000362</v>
      </c>
      <c r="G27">
        <v>1</v>
      </c>
      <c r="H27" t="str">
        <f>"00000000"</f>
        <v>00000000</v>
      </c>
      <c r="I27" t="s">
        <v>35</v>
      </c>
      <c r="J27"/>
      <c r="K27">
        <v>13.49</v>
      </c>
      <c r="L27">
        <v>0.0</v>
      </c>
      <c r="M27"/>
      <c r="N27"/>
      <c r="O27">
        <v>2.43</v>
      </c>
      <c r="P27">
        <v>0.4</v>
      </c>
      <c r="Q27">
        <v>16.32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"0000363"</f>
        <v>0000363</v>
      </c>
      <c r="G28">
        <v>1</v>
      </c>
      <c r="H28" t="str">
        <f>"00000000"</f>
        <v>00000000</v>
      </c>
      <c r="I28" t="s">
        <v>35</v>
      </c>
      <c r="J28"/>
      <c r="K28">
        <v>25.59</v>
      </c>
      <c r="L28">
        <v>0.0</v>
      </c>
      <c r="M28"/>
      <c r="N28"/>
      <c r="O28">
        <v>4.61</v>
      </c>
      <c r="P28">
        <v>0.0</v>
      </c>
      <c r="Q28">
        <v>30.2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36</v>
      </c>
      <c r="E29" t="s">
        <v>37</v>
      </c>
      <c r="F29" t="str">
        <f>"0000011"</f>
        <v>0000011</v>
      </c>
      <c r="G29">
        <v>6</v>
      </c>
      <c r="H29" t="str">
        <f>"10424390530"</f>
        <v>10424390530</v>
      </c>
      <c r="I29" t="s">
        <v>38</v>
      </c>
      <c r="J29"/>
      <c r="K29">
        <v>6.37</v>
      </c>
      <c r="L29">
        <v>0.0</v>
      </c>
      <c r="M29"/>
      <c r="N29"/>
      <c r="O29">
        <v>1.15</v>
      </c>
      <c r="P29">
        <v>0.0</v>
      </c>
      <c r="Q29">
        <v>7.52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"0000364"</f>
        <v>0000364</v>
      </c>
      <c r="G30">
        <v>1</v>
      </c>
      <c r="H30" t="str">
        <f>"00000000"</f>
        <v>00000000</v>
      </c>
      <c r="I30" t="s">
        <v>35</v>
      </c>
      <c r="J30"/>
      <c r="K30">
        <v>16.1</v>
      </c>
      <c r="L30">
        <v>0.0</v>
      </c>
      <c r="M30"/>
      <c r="N30"/>
      <c r="O30">
        <v>2.9</v>
      </c>
      <c r="P30">
        <v>0.0</v>
      </c>
      <c r="Q30">
        <v>19.0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"0000365"</f>
        <v>0000365</v>
      </c>
      <c r="G31">
        <v>1</v>
      </c>
      <c r="H31" t="str">
        <f>"00000000"</f>
        <v>00000000</v>
      </c>
      <c r="I31" t="s">
        <v>35</v>
      </c>
      <c r="J31"/>
      <c r="K31">
        <v>18.9</v>
      </c>
      <c r="L31">
        <v>0.0</v>
      </c>
      <c r="M31"/>
      <c r="N31"/>
      <c r="O31">
        <v>3.4</v>
      </c>
      <c r="P31">
        <v>0.2</v>
      </c>
      <c r="Q31">
        <v>22.5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33</v>
      </c>
      <c r="E32" t="s">
        <v>34</v>
      </c>
      <c r="F32" t="str">
        <f>"0000366"</f>
        <v>0000366</v>
      </c>
      <c r="G32">
        <v>1</v>
      </c>
      <c r="H32" t="str">
        <f>"00000000"</f>
        <v>00000000</v>
      </c>
      <c r="I32" t="s">
        <v>35</v>
      </c>
      <c r="J32"/>
      <c r="K32">
        <v>7.63</v>
      </c>
      <c r="L32">
        <v>0.0</v>
      </c>
      <c r="M32"/>
      <c r="N32"/>
      <c r="O32">
        <v>1.37</v>
      </c>
      <c r="P32">
        <v>0.0</v>
      </c>
      <c r="Q32">
        <v>9.0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"0000367"</f>
        <v>0000367</v>
      </c>
      <c r="G33">
        <v>1</v>
      </c>
      <c r="H33" t="str">
        <f>"00000000"</f>
        <v>00000000</v>
      </c>
      <c r="I33" t="s">
        <v>35</v>
      </c>
      <c r="J33"/>
      <c r="K33">
        <v>21.36</v>
      </c>
      <c r="L33">
        <v>0.0</v>
      </c>
      <c r="M33"/>
      <c r="N33"/>
      <c r="O33">
        <v>3.84</v>
      </c>
      <c r="P33">
        <v>0.0</v>
      </c>
      <c r="Q33">
        <v>25.2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"0000368"</f>
        <v>0000368</v>
      </c>
      <c r="G34">
        <v>1</v>
      </c>
      <c r="H34" t="str">
        <f>"00000000"</f>
        <v>00000000</v>
      </c>
      <c r="I34" t="s">
        <v>35</v>
      </c>
      <c r="J34"/>
      <c r="K34">
        <v>5.59</v>
      </c>
      <c r="L34">
        <v>0.0</v>
      </c>
      <c r="M34"/>
      <c r="N34"/>
      <c r="O34">
        <v>1.01</v>
      </c>
      <c r="P34">
        <v>0.0</v>
      </c>
      <c r="Q34">
        <v>6.6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"0000369"</f>
        <v>0000369</v>
      </c>
      <c r="G35">
        <v>1</v>
      </c>
      <c r="H35" t="str">
        <f>"00000000"</f>
        <v>00000000</v>
      </c>
      <c r="I35" t="s">
        <v>35</v>
      </c>
      <c r="J35"/>
      <c r="K35">
        <v>2.37</v>
      </c>
      <c r="L35">
        <v>0.0</v>
      </c>
      <c r="M35"/>
      <c r="N35"/>
      <c r="O35">
        <v>0.43</v>
      </c>
      <c r="P35">
        <v>0.0</v>
      </c>
      <c r="Q35">
        <v>2.8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"0000370"</f>
        <v>0000370</v>
      </c>
      <c r="G36">
        <v>1</v>
      </c>
      <c r="H36" t="str">
        <f>"00000000"</f>
        <v>00000000</v>
      </c>
      <c r="I36" t="s">
        <v>35</v>
      </c>
      <c r="J36"/>
      <c r="K36">
        <v>15.89</v>
      </c>
      <c r="L36">
        <v>0.0</v>
      </c>
      <c r="M36"/>
      <c r="N36"/>
      <c r="O36">
        <v>2.86</v>
      </c>
      <c r="P36">
        <v>0.2</v>
      </c>
      <c r="Q36">
        <v>18.95</v>
      </c>
      <c r="R36"/>
      <c r="S36"/>
      <c r="T36"/>
      <c r="U36"/>
      <c r="V36"/>
      <c r="W36">
        <v>18</v>
      </c>
    </row>
    <row r="37" spans="1:23">
      <c r="A37"/>
      <c r="B37" t="s">
        <v>32</v>
      </c>
      <c r="C37" t="s">
        <v>32</v>
      </c>
      <c r="D37" t="s">
        <v>33</v>
      </c>
      <c r="E37" t="s">
        <v>34</v>
      </c>
      <c r="F37" t="str">
        <f>"0000371"</f>
        <v>0000371</v>
      </c>
      <c r="G37">
        <v>1</v>
      </c>
      <c r="H37" t="str">
        <f>"00000000"</f>
        <v>00000000</v>
      </c>
      <c r="I37" t="s">
        <v>35</v>
      </c>
      <c r="J37"/>
      <c r="K37">
        <v>11.61</v>
      </c>
      <c r="L37">
        <v>0.0</v>
      </c>
      <c r="M37"/>
      <c r="N37"/>
      <c r="O37">
        <v>2.09</v>
      </c>
      <c r="P37">
        <v>0.0</v>
      </c>
      <c r="Q37">
        <v>13.7</v>
      </c>
      <c r="R37"/>
      <c r="S37"/>
      <c r="T37"/>
      <c r="U37"/>
      <c r="V37"/>
      <c r="W37">
        <v>18</v>
      </c>
    </row>
    <row r="38" spans="1:23">
      <c r="A38"/>
      <c r="B38" t="s">
        <v>32</v>
      </c>
      <c r="C38" t="s">
        <v>32</v>
      </c>
      <c r="D38" t="s">
        <v>33</v>
      </c>
      <c r="E38" t="s">
        <v>34</v>
      </c>
      <c r="F38" t="str">
        <f>"0000372"</f>
        <v>0000372</v>
      </c>
      <c r="G38">
        <v>1</v>
      </c>
      <c r="H38" t="str">
        <f>"00000000"</f>
        <v>00000000</v>
      </c>
      <c r="I38" t="s">
        <v>35</v>
      </c>
      <c r="J38"/>
      <c r="K38">
        <v>18.65</v>
      </c>
      <c r="L38">
        <v>0.0</v>
      </c>
      <c r="M38"/>
      <c r="N38"/>
      <c r="O38">
        <v>3.36</v>
      </c>
      <c r="P38">
        <v>0.2</v>
      </c>
      <c r="Q38">
        <v>22.21</v>
      </c>
      <c r="R38"/>
      <c r="S38"/>
      <c r="T38"/>
      <c r="U38"/>
      <c r="V38"/>
      <c r="W38">
        <v>18</v>
      </c>
    </row>
    <row r="39" spans="1:23">
      <c r="A39"/>
      <c r="B39" t="s">
        <v>32</v>
      </c>
      <c r="C39" t="s">
        <v>32</v>
      </c>
      <c r="D39" t="s">
        <v>33</v>
      </c>
      <c r="E39" t="s">
        <v>34</v>
      </c>
      <c r="F39" t="str">
        <f>"0000373"</f>
        <v>0000373</v>
      </c>
      <c r="G39">
        <v>1</v>
      </c>
      <c r="H39" t="str">
        <f>"00000000"</f>
        <v>00000000</v>
      </c>
      <c r="I39" t="s">
        <v>35</v>
      </c>
      <c r="J39"/>
      <c r="K39">
        <v>24.82</v>
      </c>
      <c r="L39">
        <v>0.0</v>
      </c>
      <c r="M39"/>
      <c r="N39"/>
      <c r="O39">
        <v>4.47</v>
      </c>
      <c r="P39">
        <v>0.2</v>
      </c>
      <c r="Q39">
        <v>29.49</v>
      </c>
      <c r="R39"/>
      <c r="S39"/>
      <c r="T39"/>
      <c r="U39"/>
      <c r="V39"/>
      <c r="W39">
        <v>18</v>
      </c>
    </row>
    <row r="40" spans="1:23">
      <c r="A40"/>
      <c r="B40" t="s">
        <v>32</v>
      </c>
      <c r="C40" t="s">
        <v>32</v>
      </c>
      <c r="D40" t="s">
        <v>33</v>
      </c>
      <c r="E40" t="s">
        <v>34</v>
      </c>
      <c r="F40" t="str">
        <f>"0000374"</f>
        <v>0000374</v>
      </c>
      <c r="G40">
        <v>1</v>
      </c>
      <c r="H40" t="str">
        <f>"00000000"</f>
        <v>00000000</v>
      </c>
      <c r="I40" t="s">
        <v>35</v>
      </c>
      <c r="J40"/>
      <c r="K40">
        <v>0.08</v>
      </c>
      <c r="L40">
        <v>0.0</v>
      </c>
      <c r="M40"/>
      <c r="N40"/>
      <c r="O40">
        <v>0.02</v>
      </c>
      <c r="P40">
        <v>0.2</v>
      </c>
      <c r="Q40">
        <v>0.3</v>
      </c>
      <c r="R40"/>
      <c r="S40"/>
      <c r="T40"/>
      <c r="U40"/>
      <c r="V40"/>
      <c r="W40">
        <v>18</v>
      </c>
    </row>
    <row r="41" spans="1:23">
      <c r="A41"/>
      <c r="B41" t="s">
        <v>32</v>
      </c>
      <c r="C41" t="s">
        <v>32</v>
      </c>
      <c r="D41" t="s">
        <v>33</v>
      </c>
      <c r="E41" t="s">
        <v>34</v>
      </c>
      <c r="F41" t="str">
        <f>"0000375"</f>
        <v>0000375</v>
      </c>
      <c r="G41">
        <v>1</v>
      </c>
      <c r="H41" t="str">
        <f>"00000000"</f>
        <v>00000000</v>
      </c>
      <c r="I41" t="s">
        <v>35</v>
      </c>
      <c r="J41"/>
      <c r="K41">
        <v>25.16</v>
      </c>
      <c r="L41">
        <v>0.0</v>
      </c>
      <c r="M41"/>
      <c r="N41"/>
      <c r="O41">
        <v>4.53</v>
      </c>
      <c r="P41">
        <v>0.0</v>
      </c>
      <c r="Q41">
        <v>29.69</v>
      </c>
      <c r="R41"/>
      <c r="S41"/>
      <c r="T41"/>
      <c r="U41"/>
      <c r="V41"/>
      <c r="W41">
        <v>18</v>
      </c>
    </row>
    <row r="42" spans="1:23">
      <c r="A42"/>
      <c r="B42" t="s">
        <v>32</v>
      </c>
      <c r="C42" t="s">
        <v>32</v>
      </c>
      <c r="D42" t="s">
        <v>33</v>
      </c>
      <c r="E42" t="s">
        <v>34</v>
      </c>
      <c r="F42" t="str">
        <f>"0000376"</f>
        <v>0000376</v>
      </c>
      <c r="G42">
        <v>1</v>
      </c>
      <c r="H42" t="str">
        <f>"00000000"</f>
        <v>00000000</v>
      </c>
      <c r="I42" t="s">
        <v>35</v>
      </c>
      <c r="J42"/>
      <c r="K42">
        <v>8.47</v>
      </c>
      <c r="L42">
        <v>0.0</v>
      </c>
      <c r="M42"/>
      <c r="N42"/>
      <c r="O42">
        <v>1.53</v>
      </c>
      <c r="P42">
        <v>0.0</v>
      </c>
      <c r="Q42">
        <v>10.0</v>
      </c>
      <c r="R42"/>
      <c r="S42"/>
      <c r="T42"/>
      <c r="U42"/>
      <c r="V42"/>
      <c r="W42">
        <v>18</v>
      </c>
    </row>
    <row r="43" spans="1:23">
      <c r="A43"/>
      <c r="B43" t="s">
        <v>32</v>
      </c>
      <c r="C43" t="s">
        <v>32</v>
      </c>
      <c r="D43" t="s">
        <v>33</v>
      </c>
      <c r="E43" t="s">
        <v>34</v>
      </c>
      <c r="F43" t="str">
        <f>"0000377"</f>
        <v>0000377</v>
      </c>
      <c r="G43">
        <v>1</v>
      </c>
      <c r="H43" t="str">
        <f>"00000000"</f>
        <v>00000000</v>
      </c>
      <c r="I43" t="s">
        <v>35</v>
      </c>
      <c r="J43"/>
      <c r="K43">
        <v>6.36</v>
      </c>
      <c r="L43">
        <v>0.0</v>
      </c>
      <c r="M43"/>
      <c r="N43"/>
      <c r="O43">
        <v>1.14</v>
      </c>
      <c r="P43">
        <v>0.0</v>
      </c>
      <c r="Q43">
        <v>7.5</v>
      </c>
      <c r="R43"/>
      <c r="S43"/>
      <c r="T43"/>
      <c r="U43"/>
      <c r="V43"/>
      <c r="W43">
        <v>18</v>
      </c>
    </row>
    <row r="44" spans="1:23">
      <c r="A44"/>
      <c r="B44" t="s">
        <v>32</v>
      </c>
      <c r="C44" t="s">
        <v>32</v>
      </c>
      <c r="D44" t="s">
        <v>33</v>
      </c>
      <c r="E44" t="s">
        <v>34</v>
      </c>
      <c r="F44" t="str">
        <f>"0000378"</f>
        <v>0000378</v>
      </c>
      <c r="G44">
        <v>1</v>
      </c>
      <c r="H44" t="str">
        <f>"00000000"</f>
        <v>00000000</v>
      </c>
      <c r="I44" t="s">
        <v>35</v>
      </c>
      <c r="J44"/>
      <c r="K44">
        <v>0.21</v>
      </c>
      <c r="L44">
        <v>0.0</v>
      </c>
      <c r="M44"/>
      <c r="N44"/>
      <c r="O44">
        <v>0.04</v>
      </c>
      <c r="P44">
        <v>0.0</v>
      </c>
      <c r="Q44">
        <v>0.25</v>
      </c>
      <c r="R44"/>
      <c r="S44"/>
      <c r="T44"/>
      <c r="U44"/>
      <c r="V44"/>
      <c r="W44">
        <v>18</v>
      </c>
    </row>
    <row r="45" spans="1:23">
      <c r="A45"/>
      <c r="B45" t="s">
        <v>32</v>
      </c>
      <c r="C45" t="s">
        <v>32</v>
      </c>
      <c r="D45" t="s">
        <v>33</v>
      </c>
      <c r="E45" t="s">
        <v>34</v>
      </c>
      <c r="F45" t="str">
        <f>"0000379"</f>
        <v>0000379</v>
      </c>
      <c r="G45">
        <v>1</v>
      </c>
      <c r="H45" t="str">
        <f>"00000000"</f>
        <v>00000000</v>
      </c>
      <c r="I45" t="s">
        <v>35</v>
      </c>
      <c r="J45"/>
      <c r="K45">
        <v>89.11</v>
      </c>
      <c r="L45">
        <v>0.0</v>
      </c>
      <c r="M45"/>
      <c r="N45"/>
      <c r="O45">
        <v>16.04</v>
      </c>
      <c r="P45">
        <v>0.4</v>
      </c>
      <c r="Q45">
        <v>105.55</v>
      </c>
      <c r="R45"/>
      <c r="S45"/>
      <c r="T45"/>
      <c r="U45"/>
      <c r="V45"/>
      <c r="W45">
        <v>18</v>
      </c>
    </row>
    <row r="46" spans="1:23">
      <c r="A46"/>
      <c r="B46" t="s">
        <v>32</v>
      </c>
      <c r="C46" t="s">
        <v>32</v>
      </c>
      <c r="D46" t="s">
        <v>33</v>
      </c>
      <c r="E46" t="s">
        <v>34</v>
      </c>
      <c r="F46" t="str">
        <f>"0000380"</f>
        <v>0000380</v>
      </c>
      <c r="G46">
        <v>1</v>
      </c>
      <c r="H46" t="str">
        <f>"00000000"</f>
        <v>00000000</v>
      </c>
      <c r="I46" t="s">
        <v>35</v>
      </c>
      <c r="J46"/>
      <c r="K46">
        <v>2.57</v>
      </c>
      <c r="L46">
        <v>0.0</v>
      </c>
      <c r="M46"/>
      <c r="N46"/>
      <c r="O46">
        <v>0.46</v>
      </c>
      <c r="P46">
        <v>0.0</v>
      </c>
      <c r="Q46">
        <v>3.03</v>
      </c>
      <c r="R46"/>
      <c r="S46"/>
      <c r="T46"/>
      <c r="U46"/>
      <c r="V46"/>
      <c r="W46">
        <v>18</v>
      </c>
    </row>
    <row r="47" spans="1:23">
      <c r="A47"/>
      <c r="B47" t="s">
        <v>32</v>
      </c>
      <c r="C47" t="s">
        <v>32</v>
      </c>
      <c r="D47" t="s">
        <v>33</v>
      </c>
      <c r="E47" t="s">
        <v>34</v>
      </c>
      <c r="F47" t="str">
        <f>"0000381"</f>
        <v>0000381</v>
      </c>
      <c r="G47">
        <v>1</v>
      </c>
      <c r="H47" t="str">
        <f>"00000000"</f>
        <v>00000000</v>
      </c>
      <c r="I47" t="s">
        <v>35</v>
      </c>
      <c r="J47"/>
      <c r="K47">
        <v>1.27</v>
      </c>
      <c r="L47">
        <v>0.0</v>
      </c>
      <c r="M47"/>
      <c r="N47"/>
      <c r="O47">
        <v>0.23</v>
      </c>
      <c r="P47">
        <v>0.0</v>
      </c>
      <c r="Q47">
        <v>1.5</v>
      </c>
      <c r="R47"/>
      <c r="S47"/>
      <c r="T47"/>
      <c r="U47"/>
      <c r="V47"/>
      <c r="W47">
        <v>18</v>
      </c>
    </row>
    <row r="48" spans="1:23">
      <c r="A48"/>
      <c r="B48" t="s">
        <v>32</v>
      </c>
      <c r="C48" t="s">
        <v>32</v>
      </c>
      <c r="D48" t="s">
        <v>33</v>
      </c>
      <c r="E48" t="s">
        <v>34</v>
      </c>
      <c r="F48" t="str">
        <f>"0000382"</f>
        <v>0000382</v>
      </c>
      <c r="G48">
        <v>1</v>
      </c>
      <c r="H48" t="str">
        <f>"00000000"</f>
        <v>00000000</v>
      </c>
      <c r="I48" t="s">
        <v>35</v>
      </c>
      <c r="J48"/>
      <c r="K48">
        <v>19.49</v>
      </c>
      <c r="L48">
        <v>0.0</v>
      </c>
      <c r="M48"/>
      <c r="N48"/>
      <c r="O48">
        <v>3.51</v>
      </c>
      <c r="P48">
        <v>0.0</v>
      </c>
      <c r="Q48">
        <v>23.0</v>
      </c>
      <c r="R48"/>
      <c r="S48"/>
      <c r="T48"/>
      <c r="U48"/>
      <c r="V48"/>
      <c r="W48">
        <v>18</v>
      </c>
    </row>
    <row r="49" spans="1:23">
      <c r="A49"/>
      <c r="B49" t="s">
        <v>32</v>
      </c>
      <c r="C49" t="s">
        <v>32</v>
      </c>
      <c r="D49" t="s">
        <v>33</v>
      </c>
      <c r="E49" t="s">
        <v>34</v>
      </c>
      <c r="F49" t="str">
        <f>"0000383"</f>
        <v>0000383</v>
      </c>
      <c r="G49">
        <v>1</v>
      </c>
      <c r="H49" t="str">
        <f>"00000000"</f>
        <v>00000000</v>
      </c>
      <c r="I49" t="s">
        <v>35</v>
      </c>
      <c r="J49"/>
      <c r="K49">
        <v>0.85</v>
      </c>
      <c r="L49">
        <v>0.0</v>
      </c>
      <c r="M49"/>
      <c r="N49"/>
      <c r="O49">
        <v>0.15</v>
      </c>
      <c r="P49">
        <v>0.0</v>
      </c>
      <c r="Q49">
        <v>1.0</v>
      </c>
      <c r="R49"/>
      <c r="S49"/>
      <c r="T49"/>
      <c r="U49"/>
      <c r="V49"/>
      <c r="W49">
        <v>18</v>
      </c>
    </row>
    <row r="50" spans="1:23">
      <c r="A50"/>
      <c r="B50" t="s">
        <v>32</v>
      </c>
      <c r="C50" t="s">
        <v>32</v>
      </c>
      <c r="D50" t="s">
        <v>33</v>
      </c>
      <c r="E50" t="s">
        <v>34</v>
      </c>
      <c r="F50" t="str">
        <f>"0000384"</f>
        <v>0000384</v>
      </c>
      <c r="G50">
        <v>1</v>
      </c>
      <c r="H50" t="str">
        <f>"00000000"</f>
        <v>00000000</v>
      </c>
      <c r="I50" t="s">
        <v>35</v>
      </c>
      <c r="J50"/>
      <c r="K50">
        <v>11.41</v>
      </c>
      <c r="L50">
        <v>0.0</v>
      </c>
      <c r="M50"/>
      <c r="N50"/>
      <c r="O50">
        <v>2.05</v>
      </c>
      <c r="P50">
        <v>0.2</v>
      </c>
      <c r="Q50">
        <v>13.66</v>
      </c>
      <c r="R50"/>
      <c r="S50"/>
      <c r="T50"/>
      <c r="U50"/>
      <c r="V50"/>
      <c r="W50">
        <v>18</v>
      </c>
    </row>
    <row r="51" spans="1:23">
      <c r="A51"/>
      <c r="B51" t="s">
        <v>32</v>
      </c>
      <c r="C51" t="s">
        <v>32</v>
      </c>
      <c r="D51" t="s">
        <v>33</v>
      </c>
      <c r="E51" t="s">
        <v>34</v>
      </c>
      <c r="F51" t="str">
        <f>"0000385"</f>
        <v>0000385</v>
      </c>
      <c r="G51">
        <v>1</v>
      </c>
      <c r="H51" t="str">
        <f>"00000000"</f>
        <v>00000000</v>
      </c>
      <c r="I51" t="s">
        <v>35</v>
      </c>
      <c r="J51"/>
      <c r="K51">
        <v>7.33</v>
      </c>
      <c r="L51">
        <v>0.0</v>
      </c>
      <c r="M51"/>
      <c r="N51"/>
      <c r="O51">
        <v>1.32</v>
      </c>
      <c r="P51">
        <v>0.0</v>
      </c>
      <c r="Q51">
        <v>8.65</v>
      </c>
      <c r="R51"/>
      <c r="S51"/>
      <c r="T51"/>
      <c r="U51"/>
      <c r="V51"/>
      <c r="W51">
        <v>18</v>
      </c>
    </row>
    <row r="52" spans="1:23">
      <c r="A52"/>
      <c r="B52" t="s">
        <v>32</v>
      </c>
      <c r="C52" t="s">
        <v>32</v>
      </c>
      <c r="D52" t="s">
        <v>33</v>
      </c>
      <c r="E52" t="s">
        <v>34</v>
      </c>
      <c r="F52" t="str">
        <f>"0000386"</f>
        <v>0000386</v>
      </c>
      <c r="G52">
        <v>1</v>
      </c>
      <c r="H52" t="str">
        <f>"00000000"</f>
        <v>00000000</v>
      </c>
      <c r="I52" t="s">
        <v>35</v>
      </c>
      <c r="J52"/>
      <c r="K52">
        <v>2.98</v>
      </c>
      <c r="L52">
        <v>0.0</v>
      </c>
      <c r="M52"/>
      <c r="N52"/>
      <c r="O52">
        <v>0.54</v>
      </c>
      <c r="P52">
        <v>0.0</v>
      </c>
      <c r="Q52">
        <v>3.52</v>
      </c>
      <c r="R52"/>
      <c r="S52"/>
      <c r="T52"/>
      <c r="U52"/>
      <c r="V52"/>
      <c r="W52">
        <v>18</v>
      </c>
    </row>
    <row r="53" spans="1:23">
      <c r="A53"/>
      <c r="B53" t="s">
        <v>32</v>
      </c>
      <c r="C53" t="s">
        <v>32</v>
      </c>
      <c r="D53" t="s">
        <v>33</v>
      </c>
      <c r="E53" t="s">
        <v>34</v>
      </c>
      <c r="F53" t="str">
        <f>"0000387"</f>
        <v>0000387</v>
      </c>
      <c r="G53">
        <v>1</v>
      </c>
      <c r="H53" t="str">
        <f>"00000000"</f>
        <v>00000000</v>
      </c>
      <c r="I53" t="s">
        <v>35</v>
      </c>
      <c r="J53"/>
      <c r="K53">
        <v>11.44</v>
      </c>
      <c r="L53">
        <v>0.0</v>
      </c>
      <c r="M53"/>
      <c r="N53"/>
      <c r="O53">
        <v>2.06</v>
      </c>
      <c r="P53">
        <v>0.2</v>
      </c>
      <c r="Q53">
        <v>13.7</v>
      </c>
      <c r="R53"/>
      <c r="S53"/>
      <c r="T53"/>
      <c r="U53"/>
      <c r="V53"/>
      <c r="W53">
        <v>18</v>
      </c>
    </row>
    <row r="54" spans="1:23">
      <c r="A54"/>
      <c r="B54" t="s">
        <v>32</v>
      </c>
      <c r="C54" t="s">
        <v>32</v>
      </c>
      <c r="D54" t="s">
        <v>33</v>
      </c>
      <c r="E54" t="s">
        <v>34</v>
      </c>
      <c r="F54" t="str">
        <f>"0000388"</f>
        <v>0000388</v>
      </c>
      <c r="G54">
        <v>1</v>
      </c>
      <c r="H54" t="str">
        <f>"00000000"</f>
        <v>00000000</v>
      </c>
      <c r="I54" t="s">
        <v>35</v>
      </c>
      <c r="J54"/>
      <c r="K54">
        <v>3.39</v>
      </c>
      <c r="L54">
        <v>0.0</v>
      </c>
      <c r="M54"/>
      <c r="N54"/>
      <c r="O54">
        <v>0.61</v>
      </c>
      <c r="P54">
        <v>0.0</v>
      </c>
      <c r="Q54">
        <v>4.0</v>
      </c>
      <c r="R54"/>
      <c r="S54"/>
      <c r="T54"/>
      <c r="U54"/>
      <c r="V54"/>
      <c r="W54">
        <v>18</v>
      </c>
    </row>
    <row r="55" spans="1:23">
      <c r="A55"/>
      <c r="B55" t="s">
        <v>32</v>
      </c>
      <c r="C55" t="s">
        <v>32</v>
      </c>
      <c r="D55" t="s">
        <v>33</v>
      </c>
      <c r="E55" t="s">
        <v>34</v>
      </c>
      <c r="F55" t="str">
        <f>"0000389"</f>
        <v>0000389</v>
      </c>
      <c r="G55">
        <v>1</v>
      </c>
      <c r="H55" t="str">
        <f>"00000000"</f>
        <v>00000000</v>
      </c>
      <c r="I55" t="s">
        <v>35</v>
      </c>
      <c r="J55"/>
      <c r="K55">
        <v>28.16</v>
      </c>
      <c r="L55">
        <v>0.0</v>
      </c>
      <c r="M55"/>
      <c r="N55"/>
      <c r="O55">
        <v>5.07</v>
      </c>
      <c r="P55">
        <v>0.2</v>
      </c>
      <c r="Q55">
        <v>33.43</v>
      </c>
      <c r="R55"/>
      <c r="S55"/>
      <c r="T55"/>
      <c r="U55"/>
      <c r="V55"/>
      <c r="W55">
        <v>18</v>
      </c>
    </row>
    <row r="56" spans="1:23">
      <c r="A56"/>
      <c r="B56" t="s">
        <v>32</v>
      </c>
      <c r="C56" t="s">
        <v>32</v>
      </c>
      <c r="D56" t="s">
        <v>36</v>
      </c>
      <c r="E56" t="s">
        <v>37</v>
      </c>
      <c r="F56" t="str">
        <f>"0000012"</f>
        <v>0000012</v>
      </c>
      <c r="G56">
        <v>6</v>
      </c>
      <c r="H56" t="str">
        <f>"20605900012"</f>
        <v>20605900012</v>
      </c>
      <c r="I56" t="s">
        <v>39</v>
      </c>
      <c r="J56"/>
      <c r="K56">
        <v>4.66</v>
      </c>
      <c r="L56">
        <v>0.0</v>
      </c>
      <c r="M56"/>
      <c r="N56"/>
      <c r="O56">
        <v>0.84</v>
      </c>
      <c r="P56">
        <v>0.0</v>
      </c>
      <c r="Q56">
        <v>5.5</v>
      </c>
      <c r="R56"/>
      <c r="S56"/>
      <c r="T56"/>
      <c r="U56"/>
      <c r="V56"/>
      <c r="W56">
        <v>18</v>
      </c>
    </row>
    <row r="57" spans="1:23">
      <c r="A57"/>
      <c r="B57" t="s">
        <v>32</v>
      </c>
      <c r="C57" t="s">
        <v>32</v>
      </c>
      <c r="D57" t="s">
        <v>33</v>
      </c>
      <c r="E57" t="s">
        <v>34</v>
      </c>
      <c r="F57" t="str">
        <f>"0000390"</f>
        <v>0000390</v>
      </c>
      <c r="G57">
        <v>1</v>
      </c>
      <c r="H57" t="str">
        <f>"00000000"</f>
        <v>00000000</v>
      </c>
      <c r="I57" t="s">
        <v>35</v>
      </c>
      <c r="J57"/>
      <c r="K57">
        <v>13.33</v>
      </c>
      <c r="L57">
        <v>0.0</v>
      </c>
      <c r="M57"/>
      <c r="N57"/>
      <c r="O57">
        <v>2.4</v>
      </c>
      <c r="P57">
        <v>0.0</v>
      </c>
      <c r="Q57">
        <v>15.73</v>
      </c>
      <c r="R57"/>
      <c r="S57"/>
      <c r="T57"/>
      <c r="U57"/>
      <c r="V57"/>
      <c r="W57">
        <v>18</v>
      </c>
    </row>
    <row r="58" spans="1:23">
      <c r="A58"/>
      <c r="B58" t="s">
        <v>32</v>
      </c>
      <c r="C58" t="s">
        <v>32</v>
      </c>
      <c r="D58" t="s">
        <v>33</v>
      </c>
      <c r="E58" t="s">
        <v>34</v>
      </c>
      <c r="F58" t="str">
        <f>"0000391"</f>
        <v>0000391</v>
      </c>
      <c r="G58">
        <v>1</v>
      </c>
      <c r="H58" t="str">
        <f>"00000000"</f>
        <v>00000000</v>
      </c>
      <c r="I58" t="s">
        <v>35</v>
      </c>
      <c r="J58"/>
      <c r="K58">
        <v>18.22</v>
      </c>
      <c r="L58">
        <v>0.0</v>
      </c>
      <c r="M58"/>
      <c r="N58"/>
      <c r="O58">
        <v>3.28</v>
      </c>
      <c r="P58">
        <v>0.2</v>
      </c>
      <c r="Q58">
        <v>21.7</v>
      </c>
      <c r="R58"/>
      <c r="S58"/>
      <c r="T58"/>
      <c r="U58"/>
      <c r="V58"/>
      <c r="W58">
        <v>18</v>
      </c>
    </row>
    <row r="59" spans="1:23">
      <c r="A59"/>
      <c r="B59" t="s">
        <v>32</v>
      </c>
      <c r="C59" t="s">
        <v>32</v>
      </c>
      <c r="D59" t="s">
        <v>36</v>
      </c>
      <c r="E59" t="s">
        <v>37</v>
      </c>
      <c r="F59" t="str">
        <f>"0000013"</f>
        <v>0000013</v>
      </c>
      <c r="G59">
        <v>6</v>
      </c>
      <c r="H59" t="str">
        <f>"20479549916"</f>
        <v>20479549916</v>
      </c>
      <c r="I59" t="s">
        <v>40</v>
      </c>
      <c r="J59"/>
      <c r="K59">
        <v>15.25</v>
      </c>
      <c r="L59">
        <v>0.0</v>
      </c>
      <c r="M59"/>
      <c r="N59"/>
      <c r="O59">
        <v>2.75</v>
      </c>
      <c r="P59">
        <v>0.0</v>
      </c>
      <c r="Q59">
        <v>18.0</v>
      </c>
      <c r="R59"/>
      <c r="S59"/>
      <c r="T59"/>
      <c r="U59"/>
      <c r="V59"/>
      <c r="W59">
        <v>18</v>
      </c>
    </row>
    <row r="60" spans="1:23">
      <c r="A60"/>
      <c r="B60" t="s">
        <v>32</v>
      </c>
      <c r="C60" t="s">
        <v>32</v>
      </c>
      <c r="D60" t="s">
        <v>33</v>
      </c>
      <c r="E60" t="s">
        <v>34</v>
      </c>
      <c r="F60" t="str">
        <f>"0000392"</f>
        <v>0000392</v>
      </c>
      <c r="G60">
        <v>1</v>
      </c>
      <c r="H60" t="str">
        <f>"00000000"</f>
        <v>00000000</v>
      </c>
      <c r="I60" t="s">
        <v>35</v>
      </c>
      <c r="J60"/>
      <c r="K60">
        <v>1.69</v>
      </c>
      <c r="L60">
        <v>0.0</v>
      </c>
      <c r="M60"/>
      <c r="N60"/>
      <c r="O60">
        <v>0.31</v>
      </c>
      <c r="P60">
        <v>0.0</v>
      </c>
      <c r="Q60">
        <v>2.0</v>
      </c>
      <c r="R60"/>
      <c r="S60"/>
      <c r="T60"/>
      <c r="U60"/>
      <c r="V60"/>
      <c r="W60">
        <v>18</v>
      </c>
    </row>
    <row r="61" spans="1:23">
      <c r="A61"/>
      <c r="B61" t="s">
        <v>32</v>
      </c>
      <c r="C61" t="s">
        <v>32</v>
      </c>
      <c r="D61" t="s">
        <v>33</v>
      </c>
      <c r="E61" t="s">
        <v>34</v>
      </c>
      <c r="F61" t="str">
        <f>"0000393"</f>
        <v>0000393</v>
      </c>
      <c r="G61">
        <v>1</v>
      </c>
      <c r="H61" t="str">
        <f>"00000000"</f>
        <v>00000000</v>
      </c>
      <c r="I61" t="s">
        <v>35</v>
      </c>
      <c r="J61"/>
      <c r="K61">
        <v>4.41</v>
      </c>
      <c r="L61">
        <v>0.0</v>
      </c>
      <c r="M61"/>
      <c r="N61"/>
      <c r="O61">
        <v>0.79</v>
      </c>
      <c r="P61">
        <v>0.0</v>
      </c>
      <c r="Q61">
        <v>5.2</v>
      </c>
      <c r="R61"/>
      <c r="S61"/>
      <c r="T61"/>
      <c r="U61"/>
      <c r="V61"/>
      <c r="W61">
        <v>18</v>
      </c>
    </row>
    <row r="62" spans="1:23">
      <c r="A62"/>
      <c r="B62" t="s">
        <v>32</v>
      </c>
      <c r="C62" t="s">
        <v>32</v>
      </c>
      <c r="D62" t="s">
        <v>36</v>
      </c>
      <c r="E62" t="s">
        <v>37</v>
      </c>
      <c r="F62" t="str">
        <f>"0000014"</f>
        <v>0000014</v>
      </c>
      <c r="G62">
        <v>6</v>
      </c>
      <c r="H62" t="str">
        <f>"20605031944"</f>
        <v>20605031944</v>
      </c>
      <c r="I62" t="s">
        <v>41</v>
      </c>
      <c r="J62"/>
      <c r="K62">
        <v>5.72</v>
      </c>
      <c r="L62">
        <v>0.0</v>
      </c>
      <c r="M62"/>
      <c r="N62"/>
      <c r="O62">
        <v>1.03</v>
      </c>
      <c r="P62">
        <v>0.0</v>
      </c>
      <c r="Q62">
        <v>6.75</v>
      </c>
      <c r="R62"/>
      <c r="S62"/>
      <c r="T62"/>
      <c r="U62"/>
      <c r="V62"/>
      <c r="W62">
        <v>18</v>
      </c>
    </row>
    <row r="63" spans="1:23">
      <c r="A63"/>
      <c r="B63" t="s">
        <v>32</v>
      </c>
      <c r="C63" t="s">
        <v>32</v>
      </c>
      <c r="D63" t="s">
        <v>33</v>
      </c>
      <c r="E63" t="s">
        <v>34</v>
      </c>
      <c r="F63" t="str">
        <f>"0000394"</f>
        <v>0000394</v>
      </c>
      <c r="G63">
        <v>1</v>
      </c>
      <c r="H63" t="str">
        <f>"00000000"</f>
        <v>00000000</v>
      </c>
      <c r="I63" t="s">
        <v>35</v>
      </c>
      <c r="J63"/>
      <c r="K63">
        <v>8.98</v>
      </c>
      <c r="L63">
        <v>0.0</v>
      </c>
      <c r="M63"/>
      <c r="N63"/>
      <c r="O63">
        <v>1.62</v>
      </c>
      <c r="P63">
        <v>0.2</v>
      </c>
      <c r="Q63">
        <v>10.8</v>
      </c>
      <c r="R63"/>
      <c r="S63"/>
      <c r="T63"/>
      <c r="U63"/>
      <c r="V63"/>
      <c r="W63">
        <v>18</v>
      </c>
    </row>
    <row r="64" spans="1:23">
      <c r="A64"/>
      <c r="B64" t="s">
        <v>32</v>
      </c>
      <c r="C64" t="s">
        <v>32</v>
      </c>
      <c r="D64" t="s">
        <v>33</v>
      </c>
      <c r="E64" t="s">
        <v>34</v>
      </c>
      <c r="F64" t="str">
        <f>"0000395"</f>
        <v>0000395</v>
      </c>
      <c r="G64">
        <v>1</v>
      </c>
      <c r="H64" t="str">
        <f>"00000000"</f>
        <v>00000000</v>
      </c>
      <c r="I64" t="s">
        <v>35</v>
      </c>
      <c r="J64"/>
      <c r="K64">
        <v>11.09</v>
      </c>
      <c r="L64">
        <v>0.0</v>
      </c>
      <c r="M64"/>
      <c r="N64"/>
      <c r="O64">
        <v>2.0</v>
      </c>
      <c r="P64">
        <v>0.0</v>
      </c>
      <c r="Q64">
        <v>13.09</v>
      </c>
      <c r="R64"/>
      <c r="S64"/>
      <c r="T64"/>
      <c r="U64"/>
      <c r="V64"/>
      <c r="W64">
        <v>18</v>
      </c>
    </row>
    <row r="65" spans="1:23">
      <c r="A65"/>
      <c r="B65" t="s">
        <v>32</v>
      </c>
      <c r="C65" t="s">
        <v>32</v>
      </c>
      <c r="D65" t="s">
        <v>33</v>
      </c>
      <c r="E65" t="s">
        <v>34</v>
      </c>
      <c r="F65" t="str">
        <f>"0000396"</f>
        <v>0000396</v>
      </c>
      <c r="G65">
        <v>1</v>
      </c>
      <c r="H65" t="str">
        <f>"00000000"</f>
        <v>00000000</v>
      </c>
      <c r="I65" t="s">
        <v>35</v>
      </c>
      <c r="J65"/>
      <c r="K65">
        <v>10.22</v>
      </c>
      <c r="L65">
        <v>0.0</v>
      </c>
      <c r="M65"/>
      <c r="N65"/>
      <c r="O65">
        <v>1.84</v>
      </c>
      <c r="P65">
        <v>0.0</v>
      </c>
      <c r="Q65">
        <v>12.06</v>
      </c>
      <c r="R65"/>
      <c r="S65"/>
      <c r="T65"/>
      <c r="U65"/>
      <c r="V65"/>
      <c r="W65">
        <v>18</v>
      </c>
    </row>
    <row r="66" spans="1:23">
      <c r="A66"/>
      <c r="B66" t="s">
        <v>32</v>
      </c>
      <c r="C66" t="s">
        <v>32</v>
      </c>
      <c r="D66" t="s">
        <v>33</v>
      </c>
      <c r="E66" t="s">
        <v>34</v>
      </c>
      <c r="F66" t="str">
        <f>"0000397"</f>
        <v>0000397</v>
      </c>
      <c r="G66">
        <v>1</v>
      </c>
      <c r="H66" t="str">
        <f>"00000000"</f>
        <v>00000000</v>
      </c>
      <c r="I66" t="s">
        <v>35</v>
      </c>
      <c r="J66"/>
      <c r="K66">
        <v>16.1</v>
      </c>
      <c r="L66">
        <v>0.0</v>
      </c>
      <c r="M66"/>
      <c r="N66"/>
      <c r="O66">
        <v>2.9</v>
      </c>
      <c r="P66">
        <v>0.0</v>
      </c>
      <c r="Q66">
        <v>19.0</v>
      </c>
      <c r="R66"/>
      <c r="S66"/>
      <c r="T66"/>
      <c r="U66"/>
      <c r="V66"/>
      <c r="W66">
        <v>18</v>
      </c>
    </row>
    <row r="67" spans="1:23">
      <c r="A67"/>
      <c r="B67" t="s">
        <v>32</v>
      </c>
      <c r="C67" t="s">
        <v>32</v>
      </c>
      <c r="D67" t="s">
        <v>33</v>
      </c>
      <c r="E67" t="s">
        <v>34</v>
      </c>
      <c r="F67" t="str">
        <f>"0000398"</f>
        <v>0000398</v>
      </c>
      <c r="G67">
        <v>1</v>
      </c>
      <c r="H67" t="str">
        <f>"00000000"</f>
        <v>00000000</v>
      </c>
      <c r="I67" t="s">
        <v>35</v>
      </c>
      <c r="J67"/>
      <c r="K67">
        <v>11.36</v>
      </c>
      <c r="L67">
        <v>0.0</v>
      </c>
      <c r="M67"/>
      <c r="N67"/>
      <c r="O67">
        <v>2.04</v>
      </c>
      <c r="P67">
        <v>0.2</v>
      </c>
      <c r="Q67">
        <v>13.6</v>
      </c>
      <c r="R67"/>
      <c r="S67"/>
      <c r="T67"/>
      <c r="U67"/>
      <c r="V67"/>
      <c r="W67">
        <v>18</v>
      </c>
    </row>
    <row r="68" spans="1:23">
      <c r="A68"/>
      <c r="B68" t="s">
        <v>32</v>
      </c>
      <c r="C68" t="s">
        <v>32</v>
      </c>
      <c r="D68" t="s">
        <v>33</v>
      </c>
      <c r="E68" t="s">
        <v>34</v>
      </c>
      <c r="F68" t="str">
        <f>"0000399"</f>
        <v>0000399</v>
      </c>
      <c r="G68">
        <v>1</v>
      </c>
      <c r="H68" t="str">
        <f>"00000000"</f>
        <v>00000000</v>
      </c>
      <c r="I68" t="s">
        <v>35</v>
      </c>
      <c r="J68"/>
      <c r="K68">
        <v>2.88</v>
      </c>
      <c r="L68">
        <v>0.0</v>
      </c>
      <c r="M68"/>
      <c r="N68"/>
      <c r="O68">
        <v>0.52</v>
      </c>
      <c r="P68">
        <v>0.0</v>
      </c>
      <c r="Q68">
        <v>3.4</v>
      </c>
      <c r="R68"/>
      <c r="S68"/>
      <c r="T68"/>
      <c r="U68"/>
      <c r="V68"/>
      <c r="W68">
        <v>18</v>
      </c>
    </row>
    <row r="69" spans="1:23">
      <c r="A69"/>
      <c r="B69" t="s">
        <v>32</v>
      </c>
      <c r="C69" t="s">
        <v>32</v>
      </c>
      <c r="D69" t="s">
        <v>33</v>
      </c>
      <c r="E69" t="s">
        <v>34</v>
      </c>
      <c r="F69" t="str">
        <f>"0000400"</f>
        <v>0000400</v>
      </c>
      <c r="G69">
        <v>1</v>
      </c>
      <c r="H69" t="str">
        <f>"00000000"</f>
        <v>00000000</v>
      </c>
      <c r="I69" t="s">
        <v>35</v>
      </c>
      <c r="J69"/>
      <c r="K69">
        <v>3.47</v>
      </c>
      <c r="L69">
        <v>0.0</v>
      </c>
      <c r="M69"/>
      <c r="N69"/>
      <c r="O69">
        <v>0.63</v>
      </c>
      <c r="P69">
        <v>0.0</v>
      </c>
      <c r="Q69">
        <v>4.1</v>
      </c>
      <c r="R69"/>
      <c r="S69"/>
      <c r="T69"/>
      <c r="U69"/>
      <c r="V69"/>
      <c r="W69">
        <v>18</v>
      </c>
    </row>
    <row r="70" spans="1:23">
      <c r="A70"/>
      <c r="B70" t="s">
        <v>32</v>
      </c>
      <c r="C70" t="s">
        <v>32</v>
      </c>
      <c r="D70" t="s">
        <v>33</v>
      </c>
      <c r="E70" t="s">
        <v>34</v>
      </c>
      <c r="F70" t="str">
        <f>"0000401"</f>
        <v>0000401</v>
      </c>
      <c r="G70">
        <v>1</v>
      </c>
      <c r="H70" t="str">
        <f>"00000000"</f>
        <v>00000000</v>
      </c>
      <c r="I70" t="s">
        <v>35</v>
      </c>
      <c r="J70"/>
      <c r="K70">
        <v>2.12</v>
      </c>
      <c r="L70">
        <v>0.0</v>
      </c>
      <c r="M70"/>
      <c r="N70"/>
      <c r="O70">
        <v>0.38</v>
      </c>
      <c r="P70">
        <v>0.0</v>
      </c>
      <c r="Q70">
        <v>2.5</v>
      </c>
      <c r="R70"/>
      <c r="S70"/>
      <c r="T70"/>
      <c r="U70"/>
      <c r="V70"/>
      <c r="W70">
        <v>18</v>
      </c>
    </row>
    <row r="71" spans="1:23">
      <c r="A71"/>
      <c r="B71" t="s">
        <v>32</v>
      </c>
      <c r="C71" t="s">
        <v>32</v>
      </c>
      <c r="D71" t="s">
        <v>33</v>
      </c>
      <c r="E71" t="s">
        <v>34</v>
      </c>
      <c r="F71" t="str">
        <f>"0000402"</f>
        <v>0000402</v>
      </c>
      <c r="G71">
        <v>1</v>
      </c>
      <c r="H71" t="str">
        <f>"00000000"</f>
        <v>00000000</v>
      </c>
      <c r="I71" t="s">
        <v>35</v>
      </c>
      <c r="J71"/>
      <c r="K71">
        <v>17.56</v>
      </c>
      <c r="L71">
        <v>0.0</v>
      </c>
      <c r="M71"/>
      <c r="N71"/>
      <c r="O71">
        <v>3.16</v>
      </c>
      <c r="P71">
        <v>0.2</v>
      </c>
      <c r="Q71">
        <v>20.92</v>
      </c>
      <c r="R71"/>
      <c r="S71"/>
      <c r="T71"/>
      <c r="U71"/>
      <c r="V71"/>
      <c r="W71">
        <v>18</v>
      </c>
    </row>
    <row r="72" spans="1:23">
      <c r="A72"/>
      <c r="B72" t="s">
        <v>32</v>
      </c>
      <c r="C72" t="s">
        <v>32</v>
      </c>
      <c r="D72" t="s">
        <v>33</v>
      </c>
      <c r="E72" t="s">
        <v>34</v>
      </c>
      <c r="F72" t="str">
        <f>"0000403"</f>
        <v>0000403</v>
      </c>
      <c r="G72">
        <v>1</v>
      </c>
      <c r="H72" t="str">
        <f>"00000000"</f>
        <v>00000000</v>
      </c>
      <c r="I72" t="s">
        <v>35</v>
      </c>
      <c r="J72"/>
      <c r="K72">
        <v>34.85</v>
      </c>
      <c r="L72">
        <v>0.0</v>
      </c>
      <c r="M72"/>
      <c r="N72"/>
      <c r="O72">
        <v>6.27</v>
      </c>
      <c r="P72">
        <v>0.2</v>
      </c>
      <c r="Q72">
        <v>41.32</v>
      </c>
      <c r="R72"/>
      <c r="S72"/>
      <c r="T72"/>
      <c r="U72"/>
      <c r="V72"/>
      <c r="W72">
        <v>18</v>
      </c>
    </row>
    <row r="73" spans="1:23">
      <c r="A73"/>
      <c r="B73" t="s">
        <v>32</v>
      </c>
      <c r="C73" t="s">
        <v>32</v>
      </c>
      <c r="D73" t="s">
        <v>33</v>
      </c>
      <c r="E73" t="s">
        <v>34</v>
      </c>
      <c r="F73" t="str">
        <f>"0000404"</f>
        <v>0000404</v>
      </c>
      <c r="G73">
        <v>1</v>
      </c>
      <c r="H73" t="str">
        <f>"00000000"</f>
        <v>00000000</v>
      </c>
      <c r="I73" t="s">
        <v>35</v>
      </c>
      <c r="J73"/>
      <c r="K73">
        <v>18.28</v>
      </c>
      <c r="L73">
        <v>0.0</v>
      </c>
      <c r="M73"/>
      <c r="N73"/>
      <c r="O73">
        <v>3.29</v>
      </c>
      <c r="P73">
        <v>0.2</v>
      </c>
      <c r="Q73">
        <v>21.77</v>
      </c>
      <c r="R73"/>
      <c r="S73"/>
      <c r="T73"/>
      <c r="U73"/>
      <c r="V73"/>
      <c r="W73">
        <v>18</v>
      </c>
    </row>
    <row r="74" spans="1:23">
      <c r="A74"/>
      <c r="B74" t="s">
        <v>32</v>
      </c>
      <c r="C74" t="s">
        <v>32</v>
      </c>
      <c r="D74" t="s">
        <v>33</v>
      </c>
      <c r="E74" t="s">
        <v>34</v>
      </c>
      <c r="F74" t="str">
        <f>"0000405"</f>
        <v>0000405</v>
      </c>
      <c r="G74">
        <v>1</v>
      </c>
      <c r="H74" t="str">
        <f>"00000000"</f>
        <v>00000000</v>
      </c>
      <c r="I74" t="s">
        <v>35</v>
      </c>
      <c r="J74"/>
      <c r="K74">
        <v>6.29</v>
      </c>
      <c r="L74">
        <v>0.0</v>
      </c>
      <c r="M74"/>
      <c r="N74"/>
      <c r="O74">
        <v>1.13</v>
      </c>
      <c r="P74">
        <v>0.2</v>
      </c>
      <c r="Q74">
        <v>7.63</v>
      </c>
      <c r="R74"/>
      <c r="S74"/>
      <c r="T74"/>
      <c r="U74"/>
      <c r="V74"/>
      <c r="W74">
        <v>18</v>
      </c>
    </row>
    <row r="75" spans="1:23">
      <c r="A75"/>
      <c r="B75" t="s">
        <v>32</v>
      </c>
      <c r="C75" t="s">
        <v>32</v>
      </c>
      <c r="D75" t="s">
        <v>33</v>
      </c>
      <c r="E75" t="s">
        <v>34</v>
      </c>
      <c r="F75" t="str">
        <f>"0000406"</f>
        <v>0000406</v>
      </c>
      <c r="G75">
        <v>1</v>
      </c>
      <c r="H75" t="str">
        <f>"00000000"</f>
        <v>00000000</v>
      </c>
      <c r="I75" t="s">
        <v>35</v>
      </c>
      <c r="J75"/>
      <c r="K75">
        <v>73.56</v>
      </c>
      <c r="L75">
        <v>0.0</v>
      </c>
      <c r="M75"/>
      <c r="N75"/>
      <c r="O75">
        <v>13.24</v>
      </c>
      <c r="P75">
        <v>0.4</v>
      </c>
      <c r="Q75">
        <v>87.2</v>
      </c>
      <c r="R75"/>
      <c r="S75"/>
      <c r="T75"/>
      <c r="U75"/>
      <c r="V75"/>
      <c r="W75">
        <v>18</v>
      </c>
    </row>
    <row r="76" spans="1:23">
      <c r="A76"/>
      <c r="B76" t="s">
        <v>32</v>
      </c>
      <c r="C76" t="s">
        <v>32</v>
      </c>
      <c r="D76" t="s">
        <v>33</v>
      </c>
      <c r="E76" t="s">
        <v>34</v>
      </c>
      <c r="F76" t="str">
        <f>"0000407"</f>
        <v>0000407</v>
      </c>
      <c r="G76">
        <v>1</v>
      </c>
      <c r="H76" t="str">
        <f>"00000000"</f>
        <v>00000000</v>
      </c>
      <c r="I76" t="s">
        <v>35</v>
      </c>
      <c r="J76"/>
      <c r="K76">
        <v>12.64</v>
      </c>
      <c r="L76">
        <v>0.0</v>
      </c>
      <c r="M76"/>
      <c r="N76"/>
      <c r="O76">
        <v>2.28</v>
      </c>
      <c r="P76">
        <v>0.4</v>
      </c>
      <c r="Q76">
        <v>15.32</v>
      </c>
      <c r="R76"/>
      <c r="S76"/>
      <c r="T76"/>
      <c r="U76"/>
      <c r="V76"/>
      <c r="W76">
        <v>18</v>
      </c>
    </row>
    <row r="77" spans="1:23">
      <c r="A77"/>
      <c r="B77" t="s">
        <v>32</v>
      </c>
      <c r="C77" t="s">
        <v>32</v>
      </c>
      <c r="D77" t="s">
        <v>33</v>
      </c>
      <c r="E77" t="s">
        <v>34</v>
      </c>
      <c r="F77" t="str">
        <f>"0000408"</f>
        <v>0000408</v>
      </c>
      <c r="G77">
        <v>1</v>
      </c>
      <c r="H77" t="str">
        <f>"00000000"</f>
        <v>00000000</v>
      </c>
      <c r="I77" t="s">
        <v>35</v>
      </c>
      <c r="J77"/>
      <c r="K77">
        <v>10.36</v>
      </c>
      <c r="L77">
        <v>0.0</v>
      </c>
      <c r="M77"/>
      <c r="N77"/>
      <c r="O77">
        <v>1.87</v>
      </c>
      <c r="P77">
        <v>0.2</v>
      </c>
      <c r="Q77">
        <v>12.43</v>
      </c>
      <c r="R77"/>
      <c r="S77"/>
      <c r="T77"/>
      <c r="U77"/>
      <c r="V77"/>
      <c r="W77">
        <v>18</v>
      </c>
    </row>
    <row r="78" spans="1:23">
      <c r="A78"/>
      <c r="B78" t="s">
        <v>32</v>
      </c>
      <c r="C78" t="s">
        <v>32</v>
      </c>
      <c r="D78" t="s">
        <v>33</v>
      </c>
      <c r="E78" t="s">
        <v>34</v>
      </c>
      <c r="F78" t="str">
        <f>"0000409"</f>
        <v>0000409</v>
      </c>
      <c r="G78">
        <v>1</v>
      </c>
      <c r="H78" t="str">
        <f>"00000000"</f>
        <v>00000000</v>
      </c>
      <c r="I78" t="s">
        <v>35</v>
      </c>
      <c r="J78"/>
      <c r="K78">
        <v>69.07</v>
      </c>
      <c r="L78">
        <v>0.0</v>
      </c>
      <c r="M78"/>
      <c r="N78"/>
      <c r="O78">
        <v>12.43</v>
      </c>
      <c r="P78">
        <v>0.0</v>
      </c>
      <c r="Q78">
        <v>81.5</v>
      </c>
      <c r="R78"/>
      <c r="S78"/>
      <c r="T78"/>
      <c r="U78"/>
      <c r="V78"/>
      <c r="W78">
        <v>18</v>
      </c>
    </row>
    <row r="79" spans="1:23">
      <c r="A79"/>
      <c r="B79" t="s">
        <v>32</v>
      </c>
      <c r="C79" t="s">
        <v>32</v>
      </c>
      <c r="D79" t="s">
        <v>33</v>
      </c>
      <c r="E79" t="s">
        <v>34</v>
      </c>
      <c r="F79" t="str">
        <f>"0000410"</f>
        <v>0000410</v>
      </c>
      <c r="G79">
        <v>1</v>
      </c>
      <c r="H79" t="str">
        <f>"00000000"</f>
        <v>00000000</v>
      </c>
      <c r="I79" t="s">
        <v>35</v>
      </c>
      <c r="J79"/>
      <c r="K79">
        <v>18.49</v>
      </c>
      <c r="L79">
        <v>0.0</v>
      </c>
      <c r="M79"/>
      <c r="N79"/>
      <c r="O79">
        <v>3.33</v>
      </c>
      <c r="P79">
        <v>0.2</v>
      </c>
      <c r="Q79">
        <v>22.02</v>
      </c>
      <c r="R79"/>
      <c r="S79"/>
      <c r="T79"/>
      <c r="U79"/>
      <c r="V79"/>
      <c r="W79">
        <v>18</v>
      </c>
    </row>
    <row r="80" spans="1:23">
      <c r="A80"/>
      <c r="B80" t="s">
        <v>32</v>
      </c>
      <c r="C80" t="s">
        <v>32</v>
      </c>
      <c r="D80" t="s">
        <v>33</v>
      </c>
      <c r="E80" t="s">
        <v>34</v>
      </c>
      <c r="F80" t="str">
        <f>"0000411"</f>
        <v>0000411</v>
      </c>
      <c r="G80">
        <v>1</v>
      </c>
      <c r="H80" t="str">
        <f>"00000000"</f>
        <v>00000000</v>
      </c>
      <c r="I80" t="s">
        <v>35</v>
      </c>
      <c r="J80"/>
      <c r="K80">
        <v>65.08</v>
      </c>
      <c r="L80">
        <v>0.0</v>
      </c>
      <c r="M80"/>
      <c r="N80"/>
      <c r="O80">
        <v>11.72</v>
      </c>
      <c r="P80">
        <v>0.4</v>
      </c>
      <c r="Q80">
        <v>77.2</v>
      </c>
      <c r="R80"/>
      <c r="S80"/>
      <c r="T80"/>
      <c r="U80"/>
      <c r="V80"/>
      <c r="W80">
        <v>18</v>
      </c>
    </row>
    <row r="81" spans="1:23">
      <c r="A81"/>
      <c r="B81" t="s">
        <v>32</v>
      </c>
      <c r="C81" t="s">
        <v>32</v>
      </c>
      <c r="D81" t="s">
        <v>33</v>
      </c>
      <c r="E81" t="s">
        <v>34</v>
      </c>
      <c r="F81" t="str">
        <f>"0000412"</f>
        <v>0000412</v>
      </c>
      <c r="G81">
        <v>1</v>
      </c>
      <c r="H81" t="str">
        <f>"00000000"</f>
        <v>00000000</v>
      </c>
      <c r="I81" t="s">
        <v>35</v>
      </c>
      <c r="J81"/>
      <c r="K81">
        <v>46.44</v>
      </c>
      <c r="L81">
        <v>0.0</v>
      </c>
      <c r="M81"/>
      <c r="N81"/>
      <c r="O81">
        <v>8.36</v>
      </c>
      <c r="P81">
        <v>0.2</v>
      </c>
      <c r="Q81">
        <v>55.0</v>
      </c>
      <c r="R81"/>
      <c r="S81"/>
      <c r="T81"/>
      <c r="U81"/>
      <c r="V81"/>
      <c r="W81">
        <v>18</v>
      </c>
    </row>
    <row r="82" spans="1:23">
      <c r="A82"/>
      <c r="B82" t="s">
        <v>32</v>
      </c>
      <c r="C82" t="s">
        <v>32</v>
      </c>
      <c r="D82" t="s">
        <v>33</v>
      </c>
      <c r="E82" t="s">
        <v>34</v>
      </c>
      <c r="F82" t="str">
        <f>"0000413"</f>
        <v>0000413</v>
      </c>
      <c r="G82">
        <v>1</v>
      </c>
      <c r="H82" t="str">
        <f>"00000000"</f>
        <v>00000000</v>
      </c>
      <c r="I82" t="s">
        <v>35</v>
      </c>
      <c r="J82"/>
      <c r="K82">
        <v>32.54</v>
      </c>
      <c r="L82">
        <v>0.0</v>
      </c>
      <c r="M82"/>
      <c r="N82"/>
      <c r="O82">
        <v>5.86</v>
      </c>
      <c r="P82">
        <v>0.2</v>
      </c>
      <c r="Q82">
        <v>38.6</v>
      </c>
      <c r="R82"/>
      <c r="S82"/>
      <c r="T82"/>
      <c r="U82"/>
      <c r="V82"/>
      <c r="W82">
        <v>18</v>
      </c>
    </row>
    <row r="83" spans="1:23">
      <c r="A83"/>
      <c r="B83" t="s">
        <v>32</v>
      </c>
      <c r="C83" t="s">
        <v>32</v>
      </c>
      <c r="D83" t="s">
        <v>33</v>
      </c>
      <c r="E83" t="s">
        <v>34</v>
      </c>
      <c r="F83" t="str">
        <f>"0000414"</f>
        <v>0000414</v>
      </c>
      <c r="G83">
        <v>1</v>
      </c>
      <c r="H83" t="str">
        <f>"00000000"</f>
        <v>00000000</v>
      </c>
      <c r="I83" t="s">
        <v>35</v>
      </c>
      <c r="J83"/>
      <c r="K83">
        <v>4.92</v>
      </c>
      <c r="L83">
        <v>0.0</v>
      </c>
      <c r="M83"/>
      <c r="N83"/>
      <c r="O83">
        <v>0.88</v>
      </c>
      <c r="P83">
        <v>0.0</v>
      </c>
      <c r="Q83">
        <v>5.8</v>
      </c>
      <c r="R83"/>
      <c r="S83"/>
      <c r="T83"/>
      <c r="U83"/>
      <c r="V83"/>
      <c r="W83">
        <v>18</v>
      </c>
    </row>
    <row r="84" spans="1:23">
      <c r="A84"/>
      <c r="B84" t="s">
        <v>32</v>
      </c>
      <c r="C84" t="s">
        <v>32</v>
      </c>
      <c r="D84" t="s">
        <v>33</v>
      </c>
      <c r="E84" t="s">
        <v>34</v>
      </c>
      <c r="F84" t="str">
        <f>"0000415"</f>
        <v>0000415</v>
      </c>
      <c r="G84">
        <v>1</v>
      </c>
      <c r="H84" t="str">
        <f>"00000000"</f>
        <v>00000000</v>
      </c>
      <c r="I84" t="s">
        <v>35</v>
      </c>
      <c r="J84"/>
      <c r="K84">
        <v>1.27</v>
      </c>
      <c r="L84">
        <v>0.0</v>
      </c>
      <c r="M84"/>
      <c r="N84"/>
      <c r="O84">
        <v>0.23</v>
      </c>
      <c r="P84">
        <v>0.0</v>
      </c>
      <c r="Q84">
        <v>1.5</v>
      </c>
      <c r="R84"/>
      <c r="S84"/>
      <c r="T84"/>
      <c r="U84"/>
      <c r="V84"/>
      <c r="W84">
        <v>18</v>
      </c>
    </row>
    <row r="85" spans="1:23">
      <c r="A85"/>
      <c r="B85" t="s">
        <v>32</v>
      </c>
      <c r="C85" t="s">
        <v>32</v>
      </c>
      <c r="D85" t="s">
        <v>33</v>
      </c>
      <c r="E85" t="s">
        <v>34</v>
      </c>
      <c r="F85" t="str">
        <f>"0000416"</f>
        <v>0000416</v>
      </c>
      <c r="G85">
        <v>1</v>
      </c>
      <c r="H85" t="str">
        <f>"00000000"</f>
        <v>00000000</v>
      </c>
      <c r="I85" t="s">
        <v>35</v>
      </c>
      <c r="J85"/>
      <c r="K85">
        <v>8.31</v>
      </c>
      <c r="L85">
        <v>0.0</v>
      </c>
      <c r="M85"/>
      <c r="N85"/>
      <c r="O85">
        <v>1.49</v>
      </c>
      <c r="P85">
        <v>0.0</v>
      </c>
      <c r="Q85">
        <v>9.8</v>
      </c>
      <c r="R85"/>
      <c r="S85"/>
      <c r="T85"/>
      <c r="U85"/>
      <c r="V85"/>
      <c r="W85">
        <v>18</v>
      </c>
    </row>
    <row r="86" spans="1:23">
      <c r="A86"/>
      <c r="B86" t="s">
        <v>32</v>
      </c>
      <c r="C86" t="s">
        <v>32</v>
      </c>
      <c r="D86" t="s">
        <v>33</v>
      </c>
      <c r="E86" t="s">
        <v>34</v>
      </c>
      <c r="F86" t="str">
        <f>"0000417"</f>
        <v>0000417</v>
      </c>
      <c r="G86">
        <v>1</v>
      </c>
      <c r="H86" t="str">
        <f>"00000000"</f>
        <v>00000000</v>
      </c>
      <c r="I86" t="s">
        <v>35</v>
      </c>
      <c r="J86"/>
      <c r="K86">
        <v>8.5</v>
      </c>
      <c r="L86">
        <v>0.0</v>
      </c>
      <c r="M86"/>
      <c r="N86"/>
      <c r="O86">
        <v>1.53</v>
      </c>
      <c r="P86">
        <v>0.2</v>
      </c>
      <c r="Q86">
        <v>10.23</v>
      </c>
      <c r="R86"/>
      <c r="S86"/>
      <c r="T86"/>
      <c r="U86"/>
      <c r="V86"/>
      <c r="W86">
        <v>18</v>
      </c>
    </row>
    <row r="87" spans="1:23">
      <c r="A87"/>
      <c r="B87" t="s">
        <v>32</v>
      </c>
      <c r="C87" t="s">
        <v>32</v>
      </c>
      <c r="D87" t="s">
        <v>33</v>
      </c>
      <c r="E87" t="s">
        <v>34</v>
      </c>
      <c r="F87" t="str">
        <f>"0000418"</f>
        <v>0000418</v>
      </c>
      <c r="G87">
        <v>1</v>
      </c>
      <c r="H87" t="str">
        <f>"00000000"</f>
        <v>00000000</v>
      </c>
      <c r="I87" t="s">
        <v>35</v>
      </c>
      <c r="J87"/>
      <c r="K87">
        <v>34.83</v>
      </c>
      <c r="L87">
        <v>0.0</v>
      </c>
      <c r="M87"/>
      <c r="N87"/>
      <c r="O87">
        <v>6.27</v>
      </c>
      <c r="P87">
        <v>0.2</v>
      </c>
      <c r="Q87">
        <v>41.3</v>
      </c>
      <c r="R87"/>
      <c r="S87"/>
      <c r="T87"/>
      <c r="U87"/>
      <c r="V87"/>
      <c r="W87">
        <v>18</v>
      </c>
    </row>
    <row r="88" spans="1:23">
      <c r="A88"/>
      <c r="B88" t="s">
        <v>32</v>
      </c>
      <c r="C88" t="s">
        <v>32</v>
      </c>
      <c r="D88" t="s">
        <v>33</v>
      </c>
      <c r="E88" t="s">
        <v>34</v>
      </c>
      <c r="F88" t="str">
        <f>"0000419"</f>
        <v>0000419</v>
      </c>
      <c r="G88">
        <v>1</v>
      </c>
      <c r="H88" t="str">
        <f>"00000000"</f>
        <v>00000000</v>
      </c>
      <c r="I88" t="s">
        <v>35</v>
      </c>
      <c r="J88"/>
      <c r="K88">
        <v>53.39</v>
      </c>
      <c r="L88">
        <v>0.0</v>
      </c>
      <c r="M88"/>
      <c r="N88"/>
      <c r="O88">
        <v>9.61</v>
      </c>
      <c r="P88">
        <v>0.2</v>
      </c>
      <c r="Q88">
        <v>63.2</v>
      </c>
      <c r="R88"/>
      <c r="S88"/>
      <c r="T88"/>
      <c r="U88"/>
      <c r="V88"/>
      <c r="W88">
        <v>18</v>
      </c>
    </row>
    <row r="89" spans="1:23">
      <c r="A89"/>
      <c r="B89" t="s">
        <v>32</v>
      </c>
      <c r="C89" t="s">
        <v>32</v>
      </c>
      <c r="D89" t="s">
        <v>33</v>
      </c>
      <c r="E89" t="s">
        <v>34</v>
      </c>
      <c r="F89" t="str">
        <f>"0000420"</f>
        <v>0000420</v>
      </c>
      <c r="G89">
        <v>1</v>
      </c>
      <c r="H89" t="str">
        <f>"00000000"</f>
        <v>00000000</v>
      </c>
      <c r="I89" t="s">
        <v>35</v>
      </c>
      <c r="J89"/>
      <c r="K89">
        <v>3.81</v>
      </c>
      <c r="L89">
        <v>0.0</v>
      </c>
      <c r="M89"/>
      <c r="N89"/>
      <c r="O89">
        <v>0.69</v>
      </c>
      <c r="P89">
        <v>0.0</v>
      </c>
      <c r="Q89">
        <v>4.5</v>
      </c>
      <c r="R89"/>
      <c r="S89"/>
      <c r="T89"/>
      <c r="U89"/>
      <c r="V89"/>
      <c r="W89">
        <v>18</v>
      </c>
    </row>
    <row r="90" spans="1:23">
      <c r="A90"/>
      <c r="B90" t="s">
        <v>32</v>
      </c>
      <c r="C90" t="s">
        <v>32</v>
      </c>
      <c r="D90" t="s">
        <v>33</v>
      </c>
      <c r="E90" t="s">
        <v>34</v>
      </c>
      <c r="F90" t="str">
        <f>"0000421"</f>
        <v>0000421</v>
      </c>
      <c r="G90">
        <v>1</v>
      </c>
      <c r="H90" t="str">
        <f>"00000000"</f>
        <v>00000000</v>
      </c>
      <c r="I90" t="s">
        <v>35</v>
      </c>
      <c r="J90"/>
      <c r="K90">
        <v>3.11</v>
      </c>
      <c r="L90">
        <v>0.0</v>
      </c>
      <c r="M90"/>
      <c r="N90"/>
      <c r="O90">
        <v>0.56</v>
      </c>
      <c r="P90">
        <v>0.2</v>
      </c>
      <c r="Q90">
        <v>3.87</v>
      </c>
      <c r="R90"/>
      <c r="S90"/>
      <c r="T90"/>
      <c r="U90"/>
      <c r="V90"/>
      <c r="W90">
        <v>18</v>
      </c>
    </row>
    <row r="91" spans="1:23">
      <c r="A91"/>
      <c r="B91" t="s">
        <v>32</v>
      </c>
      <c r="C91" t="s">
        <v>32</v>
      </c>
      <c r="D91" t="s">
        <v>33</v>
      </c>
      <c r="E91" t="s">
        <v>34</v>
      </c>
      <c r="F91" t="str">
        <f>"0000422"</f>
        <v>0000422</v>
      </c>
      <c r="G91">
        <v>1</v>
      </c>
      <c r="H91" t="str">
        <f>"00000000"</f>
        <v>00000000</v>
      </c>
      <c r="I91" t="s">
        <v>35</v>
      </c>
      <c r="J91"/>
      <c r="K91">
        <v>9.3</v>
      </c>
      <c r="L91">
        <v>0.0</v>
      </c>
      <c r="M91"/>
      <c r="N91"/>
      <c r="O91">
        <v>1.67</v>
      </c>
      <c r="P91">
        <v>0.2</v>
      </c>
      <c r="Q91">
        <v>11.17</v>
      </c>
      <c r="R91"/>
      <c r="S91"/>
      <c r="T91"/>
      <c r="U91"/>
      <c r="V91"/>
      <c r="W91">
        <v>18</v>
      </c>
    </row>
    <row r="92" spans="1:23">
      <c r="A92"/>
      <c r="B92" t="s">
        <v>32</v>
      </c>
      <c r="C92" t="s">
        <v>32</v>
      </c>
      <c r="D92" t="s">
        <v>33</v>
      </c>
      <c r="E92" t="s">
        <v>34</v>
      </c>
      <c r="F92" t="str">
        <f>"0000423"</f>
        <v>0000423</v>
      </c>
      <c r="G92">
        <v>1</v>
      </c>
      <c r="H92" t="str">
        <f>"00000000"</f>
        <v>00000000</v>
      </c>
      <c r="I92" t="s">
        <v>35</v>
      </c>
      <c r="J92"/>
      <c r="K92">
        <v>24.24</v>
      </c>
      <c r="L92">
        <v>0.0</v>
      </c>
      <c r="M92"/>
      <c r="N92"/>
      <c r="O92">
        <v>4.36</v>
      </c>
      <c r="P92">
        <v>0.0</v>
      </c>
      <c r="Q92">
        <v>28.6</v>
      </c>
      <c r="R92"/>
      <c r="S92"/>
      <c r="T92"/>
      <c r="U92"/>
      <c r="V92"/>
      <c r="W92">
        <v>18</v>
      </c>
    </row>
    <row r="93" spans="1:23">
      <c r="A93"/>
      <c r="B93" t="s">
        <v>32</v>
      </c>
      <c r="C93" t="s">
        <v>32</v>
      </c>
      <c r="D93" t="s">
        <v>33</v>
      </c>
      <c r="E93" t="s">
        <v>34</v>
      </c>
      <c r="F93" t="str">
        <f>"0000424"</f>
        <v>0000424</v>
      </c>
      <c r="G93">
        <v>1</v>
      </c>
      <c r="H93" t="str">
        <f>"00000000"</f>
        <v>00000000</v>
      </c>
      <c r="I93" t="s">
        <v>35</v>
      </c>
      <c r="J93"/>
      <c r="K93">
        <v>6.86</v>
      </c>
      <c r="L93">
        <v>0.0</v>
      </c>
      <c r="M93"/>
      <c r="N93"/>
      <c r="O93">
        <v>1.24</v>
      </c>
      <c r="P93">
        <v>0.0</v>
      </c>
      <c r="Q93">
        <v>8.1</v>
      </c>
      <c r="R93"/>
      <c r="S93"/>
      <c r="T93"/>
      <c r="U93"/>
      <c r="V93"/>
      <c r="W93">
        <v>18</v>
      </c>
    </row>
    <row r="94" spans="1:23">
      <c r="A94"/>
      <c r="B94" t="s">
        <v>32</v>
      </c>
      <c r="C94" t="s">
        <v>32</v>
      </c>
      <c r="D94" t="s">
        <v>33</v>
      </c>
      <c r="E94" t="s">
        <v>34</v>
      </c>
      <c r="F94" t="str">
        <f>"0000425"</f>
        <v>0000425</v>
      </c>
      <c r="G94">
        <v>1</v>
      </c>
      <c r="H94" t="str">
        <f>"00000000"</f>
        <v>00000000</v>
      </c>
      <c r="I94" t="s">
        <v>35</v>
      </c>
      <c r="J94"/>
      <c r="K94">
        <v>3.9</v>
      </c>
      <c r="L94">
        <v>0.0</v>
      </c>
      <c r="M94"/>
      <c r="N94"/>
      <c r="O94">
        <v>0.7</v>
      </c>
      <c r="P94">
        <v>0.2</v>
      </c>
      <c r="Q94">
        <v>4.8</v>
      </c>
      <c r="R94"/>
      <c r="S94"/>
      <c r="T94"/>
      <c r="U94"/>
      <c r="V94"/>
      <c r="W94">
        <v>18</v>
      </c>
    </row>
    <row r="95" spans="1:23">
      <c r="A95"/>
      <c r="B95" t="s">
        <v>32</v>
      </c>
      <c r="C95" t="s">
        <v>32</v>
      </c>
      <c r="D95" t="s">
        <v>33</v>
      </c>
      <c r="E95" t="s">
        <v>34</v>
      </c>
      <c r="F95" t="str">
        <f>"0000426"</f>
        <v>0000426</v>
      </c>
      <c r="G95">
        <v>1</v>
      </c>
      <c r="H95" t="str">
        <f>"00000000"</f>
        <v>00000000</v>
      </c>
      <c r="I95" t="s">
        <v>35</v>
      </c>
      <c r="J95"/>
      <c r="K95">
        <v>31.29</v>
      </c>
      <c r="L95">
        <v>0.0</v>
      </c>
      <c r="M95"/>
      <c r="N95"/>
      <c r="O95">
        <v>5.63</v>
      </c>
      <c r="P95">
        <v>0.2</v>
      </c>
      <c r="Q95">
        <v>37.13</v>
      </c>
      <c r="R95"/>
      <c r="S95"/>
      <c r="T95"/>
      <c r="U95"/>
      <c r="V95"/>
      <c r="W95">
        <v>18</v>
      </c>
    </row>
    <row r="96" spans="1:23">
      <c r="A96"/>
      <c r="B96" t="s">
        <v>32</v>
      </c>
      <c r="C96" t="s">
        <v>32</v>
      </c>
      <c r="D96" t="s">
        <v>33</v>
      </c>
      <c r="E96" t="s">
        <v>34</v>
      </c>
      <c r="F96" t="str">
        <f>"0000427"</f>
        <v>0000427</v>
      </c>
      <c r="G96">
        <v>1</v>
      </c>
      <c r="H96" t="str">
        <f>"00000000"</f>
        <v>00000000</v>
      </c>
      <c r="I96" t="s">
        <v>35</v>
      </c>
      <c r="J96"/>
      <c r="K96">
        <v>6.44</v>
      </c>
      <c r="L96">
        <v>0.0</v>
      </c>
      <c r="M96"/>
      <c r="N96"/>
      <c r="O96">
        <v>1.16</v>
      </c>
      <c r="P96">
        <v>0.2</v>
      </c>
      <c r="Q96">
        <v>7.8</v>
      </c>
      <c r="R96"/>
      <c r="S96"/>
      <c r="T96"/>
      <c r="U96"/>
      <c r="V96"/>
      <c r="W96">
        <v>18</v>
      </c>
    </row>
    <row r="97" spans="1:23">
      <c r="A97"/>
      <c r="B97" t="s">
        <v>32</v>
      </c>
      <c r="C97" t="s">
        <v>32</v>
      </c>
      <c r="D97" t="s">
        <v>33</v>
      </c>
      <c r="E97" t="s">
        <v>34</v>
      </c>
      <c r="F97" t="str">
        <f>"0000428"</f>
        <v>0000428</v>
      </c>
      <c r="G97">
        <v>1</v>
      </c>
      <c r="H97" t="str">
        <f>"00000000"</f>
        <v>00000000</v>
      </c>
      <c r="I97" t="s">
        <v>35</v>
      </c>
      <c r="J97"/>
      <c r="K97">
        <v>2.97</v>
      </c>
      <c r="L97">
        <v>0.0</v>
      </c>
      <c r="M97"/>
      <c r="N97"/>
      <c r="O97">
        <v>0.53</v>
      </c>
      <c r="P97">
        <v>0.2</v>
      </c>
      <c r="Q97">
        <v>3.7</v>
      </c>
      <c r="R97"/>
      <c r="S97"/>
      <c r="T97"/>
      <c r="U97"/>
      <c r="V97"/>
      <c r="W97">
        <v>18</v>
      </c>
    </row>
    <row r="98" spans="1:23">
      <c r="A98"/>
      <c r="B98" t="s">
        <v>32</v>
      </c>
      <c r="C98" t="s">
        <v>32</v>
      </c>
      <c r="D98" t="s">
        <v>33</v>
      </c>
      <c r="E98" t="s">
        <v>34</v>
      </c>
      <c r="F98" t="str">
        <f>"0000429"</f>
        <v>0000429</v>
      </c>
      <c r="G98">
        <v>1</v>
      </c>
      <c r="H98" t="str">
        <f>"00000000"</f>
        <v>00000000</v>
      </c>
      <c r="I98" t="s">
        <v>35</v>
      </c>
      <c r="J98"/>
      <c r="K98">
        <v>34.49</v>
      </c>
      <c r="L98">
        <v>0.0</v>
      </c>
      <c r="M98"/>
      <c r="N98"/>
      <c r="O98">
        <v>6.21</v>
      </c>
      <c r="P98">
        <v>0.2</v>
      </c>
      <c r="Q98">
        <v>40.9</v>
      </c>
      <c r="R98"/>
      <c r="S98"/>
      <c r="T98"/>
      <c r="U98"/>
      <c r="V98"/>
      <c r="W98">
        <v>18</v>
      </c>
    </row>
    <row r="99" spans="1:23">
      <c r="A99"/>
      <c r="B99" t="s">
        <v>32</v>
      </c>
      <c r="C99" t="s">
        <v>32</v>
      </c>
      <c r="D99" t="s">
        <v>33</v>
      </c>
      <c r="E99" t="s">
        <v>34</v>
      </c>
      <c r="F99" t="str">
        <f>"0000430"</f>
        <v>0000430</v>
      </c>
      <c r="G99">
        <v>1</v>
      </c>
      <c r="H99" t="str">
        <f>"00000000"</f>
        <v>00000000</v>
      </c>
      <c r="I99" t="s">
        <v>35</v>
      </c>
      <c r="J99"/>
      <c r="K99">
        <v>15.17</v>
      </c>
      <c r="L99">
        <v>0.0</v>
      </c>
      <c r="M99"/>
      <c r="N99"/>
      <c r="O99">
        <v>2.73</v>
      </c>
      <c r="P99">
        <v>0.0</v>
      </c>
      <c r="Q99">
        <v>17.9</v>
      </c>
      <c r="R99"/>
      <c r="S99"/>
      <c r="T99"/>
      <c r="U99"/>
      <c r="V99"/>
      <c r="W99">
        <v>18</v>
      </c>
    </row>
    <row r="100" spans="1:23">
      <c r="A100"/>
      <c r="B100" t="s">
        <v>32</v>
      </c>
      <c r="C100" t="s">
        <v>32</v>
      </c>
      <c r="D100" t="s">
        <v>33</v>
      </c>
      <c r="E100" t="s">
        <v>34</v>
      </c>
      <c r="F100" t="str">
        <f>"0000431"</f>
        <v>0000431</v>
      </c>
      <c r="G100">
        <v>1</v>
      </c>
      <c r="H100" t="str">
        <f>"00000000"</f>
        <v>00000000</v>
      </c>
      <c r="I100" t="s">
        <v>35</v>
      </c>
      <c r="J100"/>
      <c r="K100">
        <v>85.93</v>
      </c>
      <c r="L100">
        <v>0.0</v>
      </c>
      <c r="M100"/>
      <c r="N100"/>
      <c r="O100">
        <v>15.47</v>
      </c>
      <c r="P100">
        <v>0.4</v>
      </c>
      <c r="Q100">
        <v>101.8</v>
      </c>
      <c r="R100"/>
      <c r="S100"/>
      <c r="T100"/>
      <c r="U100"/>
      <c r="V100"/>
      <c r="W100">
        <v>18</v>
      </c>
    </row>
    <row r="101" spans="1:23">
      <c r="A101"/>
      <c r="B101" t="s">
        <v>32</v>
      </c>
      <c r="C101" t="s">
        <v>32</v>
      </c>
      <c r="D101" t="s">
        <v>33</v>
      </c>
      <c r="E101" t="s">
        <v>34</v>
      </c>
      <c r="F101" t="str">
        <f>"0000432"</f>
        <v>0000432</v>
      </c>
      <c r="G101">
        <v>1</v>
      </c>
      <c r="H101" t="str">
        <f>"00000000"</f>
        <v>00000000</v>
      </c>
      <c r="I101" t="s">
        <v>35</v>
      </c>
      <c r="J101"/>
      <c r="K101">
        <v>5.93</v>
      </c>
      <c r="L101">
        <v>0.0</v>
      </c>
      <c r="M101"/>
      <c r="N101"/>
      <c r="O101">
        <v>1.07</v>
      </c>
      <c r="P101">
        <v>0.0</v>
      </c>
      <c r="Q101">
        <v>7.0</v>
      </c>
      <c r="R101"/>
      <c r="S101"/>
      <c r="T101"/>
      <c r="U101"/>
      <c r="V101"/>
      <c r="W101">
        <v>18</v>
      </c>
    </row>
    <row r="102" spans="1:23">
      <c r="A102"/>
      <c r="B102" t="s">
        <v>32</v>
      </c>
      <c r="C102" t="s">
        <v>32</v>
      </c>
      <c r="D102" t="s">
        <v>36</v>
      </c>
      <c r="E102" t="s">
        <v>37</v>
      </c>
      <c r="F102" t="str">
        <f>"0000015"</f>
        <v>0000015</v>
      </c>
      <c r="G102">
        <v>6</v>
      </c>
      <c r="H102" t="str">
        <f>"20602597351"</f>
        <v>20602597351</v>
      </c>
      <c r="I102" t="s">
        <v>42</v>
      </c>
      <c r="J102"/>
      <c r="K102">
        <v>54.93</v>
      </c>
      <c r="L102">
        <v>0.0</v>
      </c>
      <c r="M102"/>
      <c r="N102"/>
      <c r="O102">
        <v>9.89</v>
      </c>
      <c r="P102">
        <v>0.2</v>
      </c>
      <c r="Q102">
        <v>65.02</v>
      </c>
      <c r="R102"/>
      <c r="S102"/>
      <c r="T102"/>
      <c r="U102"/>
      <c r="V102"/>
      <c r="W102">
        <v>18</v>
      </c>
    </row>
    <row r="103" spans="1:23">
      <c r="A103"/>
      <c r="B103" t="s">
        <v>32</v>
      </c>
      <c r="C103" t="s">
        <v>32</v>
      </c>
      <c r="D103" t="s">
        <v>33</v>
      </c>
      <c r="E103" t="s">
        <v>34</v>
      </c>
      <c r="F103" t="str">
        <f>"0000433"</f>
        <v>0000433</v>
      </c>
      <c r="G103">
        <v>1</v>
      </c>
      <c r="H103" t="str">
        <f>"00000000"</f>
        <v>00000000</v>
      </c>
      <c r="I103" t="s">
        <v>35</v>
      </c>
      <c r="J103"/>
      <c r="K103">
        <v>2.2</v>
      </c>
      <c r="L103">
        <v>0.0</v>
      </c>
      <c r="M103"/>
      <c r="N103"/>
      <c r="O103">
        <v>0.4</v>
      </c>
      <c r="P103">
        <v>0.0</v>
      </c>
      <c r="Q103">
        <v>2.59</v>
      </c>
      <c r="R103"/>
      <c r="S103"/>
      <c r="T103"/>
      <c r="U103"/>
      <c r="V103"/>
      <c r="W103">
        <v>18</v>
      </c>
    </row>
    <row r="104" spans="1:23">
      <c r="A104"/>
      <c r="B104" t="s">
        <v>32</v>
      </c>
      <c r="C104" t="s">
        <v>32</v>
      </c>
      <c r="D104" t="s">
        <v>33</v>
      </c>
      <c r="E104" t="s">
        <v>34</v>
      </c>
      <c r="F104" t="str">
        <f>"0000434"</f>
        <v>0000434</v>
      </c>
      <c r="G104">
        <v>1</v>
      </c>
      <c r="H104" t="str">
        <f>"00000000"</f>
        <v>00000000</v>
      </c>
      <c r="I104" t="s">
        <v>35</v>
      </c>
      <c r="J104"/>
      <c r="K104">
        <v>9.66</v>
      </c>
      <c r="L104">
        <v>0.0</v>
      </c>
      <c r="M104"/>
      <c r="N104"/>
      <c r="O104">
        <v>1.74</v>
      </c>
      <c r="P104">
        <v>0.2</v>
      </c>
      <c r="Q104">
        <v>11.6</v>
      </c>
      <c r="R104"/>
      <c r="S104"/>
      <c r="T104"/>
      <c r="U104"/>
      <c r="V104"/>
      <c r="W104">
        <v>18</v>
      </c>
    </row>
    <row r="105" spans="1:23">
      <c r="A105"/>
      <c r="B105" t="s">
        <v>32</v>
      </c>
      <c r="C105" t="s">
        <v>32</v>
      </c>
      <c r="D105" t="s">
        <v>33</v>
      </c>
      <c r="E105" t="s">
        <v>34</v>
      </c>
      <c r="F105" t="str">
        <f>"0000435"</f>
        <v>0000435</v>
      </c>
      <c r="G105">
        <v>1</v>
      </c>
      <c r="H105" t="str">
        <f>"00000000"</f>
        <v>00000000</v>
      </c>
      <c r="I105" t="s">
        <v>35</v>
      </c>
      <c r="J105"/>
      <c r="K105">
        <v>5.17</v>
      </c>
      <c r="L105">
        <v>0.0</v>
      </c>
      <c r="M105"/>
      <c r="N105"/>
      <c r="O105">
        <v>0.93</v>
      </c>
      <c r="P105">
        <v>0.2</v>
      </c>
      <c r="Q105">
        <v>6.3</v>
      </c>
      <c r="R105"/>
      <c r="S105"/>
      <c r="T105"/>
      <c r="U105"/>
      <c r="V105"/>
      <c r="W105">
        <v>18</v>
      </c>
    </row>
    <row r="106" spans="1:23">
      <c r="A106"/>
      <c r="B106" t="s">
        <v>32</v>
      </c>
      <c r="C106" t="s">
        <v>32</v>
      </c>
      <c r="D106" t="s">
        <v>33</v>
      </c>
      <c r="E106" t="s">
        <v>34</v>
      </c>
      <c r="F106" t="str">
        <f>"0000436"</f>
        <v>0000436</v>
      </c>
      <c r="G106">
        <v>1</v>
      </c>
      <c r="H106" t="str">
        <f>"00000000"</f>
        <v>00000000</v>
      </c>
      <c r="I106" t="s">
        <v>35</v>
      </c>
      <c r="J106"/>
      <c r="K106">
        <v>12.71</v>
      </c>
      <c r="L106">
        <v>0.0</v>
      </c>
      <c r="M106"/>
      <c r="N106"/>
      <c r="O106">
        <v>2.29</v>
      </c>
      <c r="P106">
        <v>0.0</v>
      </c>
      <c r="Q106">
        <v>15.0</v>
      </c>
      <c r="R106"/>
      <c r="S106"/>
      <c r="T106"/>
      <c r="U106"/>
      <c r="V106"/>
      <c r="W106">
        <v>18</v>
      </c>
    </row>
    <row r="107" spans="1:23">
      <c r="A107"/>
      <c r="B107" t="s">
        <v>32</v>
      </c>
      <c r="C107" t="s">
        <v>32</v>
      </c>
      <c r="D107" t="s">
        <v>33</v>
      </c>
      <c r="E107" t="s">
        <v>34</v>
      </c>
      <c r="F107" t="str">
        <f>"0000437"</f>
        <v>0000437</v>
      </c>
      <c r="G107">
        <v>1</v>
      </c>
      <c r="H107" t="str">
        <f>"00000000"</f>
        <v>00000000</v>
      </c>
      <c r="I107" t="s">
        <v>35</v>
      </c>
      <c r="J107"/>
      <c r="K107">
        <v>8.73</v>
      </c>
      <c r="L107">
        <v>0.0</v>
      </c>
      <c r="M107"/>
      <c r="N107"/>
      <c r="O107">
        <v>1.57</v>
      </c>
      <c r="P107">
        <v>0.2</v>
      </c>
      <c r="Q107">
        <v>10.5</v>
      </c>
      <c r="R107"/>
      <c r="S107"/>
      <c r="T107"/>
      <c r="U107"/>
      <c r="V107"/>
      <c r="W107">
        <v>18</v>
      </c>
    </row>
    <row r="108" spans="1:23">
      <c r="A108"/>
      <c r="B108" t="s">
        <v>32</v>
      </c>
      <c r="C108" t="s">
        <v>32</v>
      </c>
      <c r="D108" t="s">
        <v>33</v>
      </c>
      <c r="E108" t="s">
        <v>34</v>
      </c>
      <c r="F108" t="str">
        <f>"0000438"</f>
        <v>0000438</v>
      </c>
      <c r="G108">
        <v>1</v>
      </c>
      <c r="H108" t="str">
        <f>"00000000"</f>
        <v>00000000</v>
      </c>
      <c r="I108" t="s">
        <v>35</v>
      </c>
      <c r="J108"/>
      <c r="K108">
        <v>27.12</v>
      </c>
      <c r="L108">
        <v>0.0</v>
      </c>
      <c r="M108"/>
      <c r="N108"/>
      <c r="O108">
        <v>4.88</v>
      </c>
      <c r="P108">
        <v>0.2</v>
      </c>
      <c r="Q108">
        <v>32.2</v>
      </c>
      <c r="R108"/>
      <c r="S108"/>
      <c r="T108"/>
      <c r="U108"/>
      <c r="V108"/>
      <c r="W108">
        <v>18</v>
      </c>
    </row>
    <row r="109" spans="1:23">
      <c r="A109"/>
      <c r="B109" t="s">
        <v>32</v>
      </c>
      <c r="C109" t="s">
        <v>32</v>
      </c>
      <c r="D109" t="s">
        <v>33</v>
      </c>
      <c r="E109" t="s">
        <v>34</v>
      </c>
      <c r="F109" t="str">
        <f>"0000439"</f>
        <v>0000439</v>
      </c>
      <c r="G109">
        <v>1</v>
      </c>
      <c r="H109" t="str">
        <f>"00000000"</f>
        <v>00000000</v>
      </c>
      <c r="I109" t="s">
        <v>35</v>
      </c>
      <c r="J109"/>
      <c r="K109">
        <v>1.69</v>
      </c>
      <c r="L109">
        <v>0.0</v>
      </c>
      <c r="M109"/>
      <c r="N109"/>
      <c r="O109">
        <v>0.31</v>
      </c>
      <c r="P109">
        <v>0.0</v>
      </c>
      <c r="Q109">
        <v>2.0</v>
      </c>
      <c r="R109"/>
      <c r="S109"/>
      <c r="T109"/>
      <c r="U109"/>
      <c r="V109"/>
      <c r="W109">
        <v>18</v>
      </c>
    </row>
    <row r="110" spans="1:23">
      <c r="A110"/>
      <c r="B110" t="s">
        <v>32</v>
      </c>
      <c r="C110" t="s">
        <v>32</v>
      </c>
      <c r="D110" t="s">
        <v>33</v>
      </c>
      <c r="E110" t="s">
        <v>34</v>
      </c>
      <c r="F110" t="str">
        <f>"0000440"</f>
        <v>0000440</v>
      </c>
      <c r="G110">
        <v>1</v>
      </c>
      <c r="H110" t="str">
        <f>"00000000"</f>
        <v>00000000</v>
      </c>
      <c r="I110" t="s">
        <v>35</v>
      </c>
      <c r="J110"/>
      <c r="K110">
        <v>15.58</v>
      </c>
      <c r="L110">
        <v>0.0</v>
      </c>
      <c r="M110"/>
      <c r="N110"/>
      <c r="O110">
        <v>2.81</v>
      </c>
      <c r="P110">
        <v>0.0</v>
      </c>
      <c r="Q110">
        <v>18.39</v>
      </c>
      <c r="R110"/>
      <c r="S110"/>
      <c r="T110"/>
      <c r="U110"/>
      <c r="V110"/>
      <c r="W110">
        <v>18</v>
      </c>
    </row>
    <row r="111" spans="1:23">
      <c r="A111"/>
      <c r="B111" t="s">
        <v>32</v>
      </c>
      <c r="C111" t="s">
        <v>32</v>
      </c>
      <c r="D111" t="s">
        <v>33</v>
      </c>
      <c r="E111" t="s">
        <v>34</v>
      </c>
      <c r="F111" t="str">
        <f>"0000441"</f>
        <v>0000441</v>
      </c>
      <c r="G111">
        <v>1</v>
      </c>
      <c r="H111" t="str">
        <f>"00000000"</f>
        <v>00000000</v>
      </c>
      <c r="I111" t="s">
        <v>35</v>
      </c>
      <c r="J111"/>
      <c r="K111">
        <v>1.53</v>
      </c>
      <c r="L111">
        <v>0.0</v>
      </c>
      <c r="M111"/>
      <c r="N111"/>
      <c r="O111">
        <v>0.27</v>
      </c>
      <c r="P111">
        <v>0.0</v>
      </c>
      <c r="Q111">
        <v>1.8</v>
      </c>
      <c r="R111"/>
      <c r="S111"/>
      <c r="T111"/>
      <c r="U111"/>
      <c r="V111"/>
      <c r="W111">
        <v>18</v>
      </c>
    </row>
    <row r="112" spans="1:23">
      <c r="A112"/>
      <c r="B112" t="s">
        <v>32</v>
      </c>
      <c r="C112" t="s">
        <v>32</v>
      </c>
      <c r="D112" t="s">
        <v>33</v>
      </c>
      <c r="E112" t="s">
        <v>34</v>
      </c>
      <c r="F112" t="str">
        <f>"0000442"</f>
        <v>0000442</v>
      </c>
      <c r="G112">
        <v>1</v>
      </c>
      <c r="H112" t="str">
        <f>"00000000"</f>
        <v>00000000</v>
      </c>
      <c r="I112" t="s">
        <v>35</v>
      </c>
      <c r="J112"/>
      <c r="K112">
        <v>45.62</v>
      </c>
      <c r="L112">
        <v>0.0</v>
      </c>
      <c r="M112"/>
      <c r="N112"/>
      <c r="O112">
        <v>8.21</v>
      </c>
      <c r="P112">
        <v>0.4</v>
      </c>
      <c r="Q112">
        <v>54.23</v>
      </c>
      <c r="R112"/>
      <c r="S112"/>
      <c r="T112"/>
      <c r="U112"/>
      <c r="V112"/>
      <c r="W112">
        <v>18</v>
      </c>
    </row>
    <row r="113" spans="1:23">
      <c r="A113"/>
      <c r="B113" t="s">
        <v>32</v>
      </c>
      <c r="C113" t="s">
        <v>32</v>
      </c>
      <c r="D113" t="s">
        <v>33</v>
      </c>
      <c r="E113" t="s">
        <v>34</v>
      </c>
      <c r="F113" t="str">
        <f>"0000443"</f>
        <v>0000443</v>
      </c>
      <c r="G113">
        <v>1</v>
      </c>
      <c r="H113" t="str">
        <f>"00000000"</f>
        <v>00000000</v>
      </c>
      <c r="I113" t="s">
        <v>35</v>
      </c>
      <c r="J113"/>
      <c r="K113">
        <v>9.05</v>
      </c>
      <c r="L113">
        <v>0.0</v>
      </c>
      <c r="M113"/>
      <c r="N113"/>
      <c r="O113">
        <v>1.63</v>
      </c>
      <c r="P113">
        <v>0.0</v>
      </c>
      <c r="Q113">
        <v>10.68</v>
      </c>
      <c r="R113"/>
      <c r="S113"/>
      <c r="T113"/>
      <c r="U113"/>
      <c r="V113"/>
      <c r="W113">
        <v>18</v>
      </c>
    </row>
    <row r="114" spans="1:23">
      <c r="A114"/>
      <c r="B114" t="s">
        <v>32</v>
      </c>
      <c r="C114" t="s">
        <v>32</v>
      </c>
      <c r="D114" t="s">
        <v>33</v>
      </c>
      <c r="E114" t="s">
        <v>34</v>
      </c>
      <c r="F114" t="str">
        <f>"0000444"</f>
        <v>0000444</v>
      </c>
      <c r="G114">
        <v>1</v>
      </c>
      <c r="H114" t="str">
        <f>"00000000"</f>
        <v>00000000</v>
      </c>
      <c r="I114" t="s">
        <v>35</v>
      </c>
      <c r="J114"/>
      <c r="K114">
        <v>21.51</v>
      </c>
      <c r="L114">
        <v>0.0</v>
      </c>
      <c r="M114"/>
      <c r="N114"/>
      <c r="O114">
        <v>3.87</v>
      </c>
      <c r="P114">
        <v>0.2</v>
      </c>
      <c r="Q114">
        <v>25.58</v>
      </c>
      <c r="R114"/>
      <c r="S114"/>
      <c r="T114"/>
      <c r="U114"/>
      <c r="V114"/>
      <c r="W114">
        <v>18</v>
      </c>
    </row>
    <row r="115" spans="1:23">
      <c r="A115"/>
      <c r="B115" t="s">
        <v>32</v>
      </c>
      <c r="C115" t="s">
        <v>32</v>
      </c>
      <c r="D115" t="s">
        <v>33</v>
      </c>
      <c r="E115" t="s">
        <v>34</v>
      </c>
      <c r="F115" t="str">
        <f>"0000445"</f>
        <v>0000445</v>
      </c>
      <c r="G115">
        <v>1</v>
      </c>
      <c r="H115" t="str">
        <f>"00000000"</f>
        <v>00000000</v>
      </c>
      <c r="I115" t="s">
        <v>35</v>
      </c>
      <c r="J115"/>
      <c r="K115">
        <v>50.17</v>
      </c>
      <c r="L115">
        <v>0.0</v>
      </c>
      <c r="M115"/>
      <c r="N115"/>
      <c r="O115">
        <v>9.03</v>
      </c>
      <c r="P115">
        <v>0.2</v>
      </c>
      <c r="Q115">
        <v>59.4</v>
      </c>
      <c r="R115"/>
      <c r="S115"/>
      <c r="T115"/>
      <c r="U115"/>
      <c r="V115"/>
      <c r="W115">
        <v>18</v>
      </c>
    </row>
    <row r="116" spans="1:23">
      <c r="A116"/>
      <c r="B116" t="s">
        <v>32</v>
      </c>
      <c r="C116" t="s">
        <v>32</v>
      </c>
      <c r="D116" t="s">
        <v>33</v>
      </c>
      <c r="E116" t="s">
        <v>34</v>
      </c>
      <c r="F116" t="str">
        <f>"0000446"</f>
        <v>0000446</v>
      </c>
      <c r="G116">
        <v>1</v>
      </c>
      <c r="H116" t="str">
        <f>"00000000"</f>
        <v>00000000</v>
      </c>
      <c r="I116" t="s">
        <v>35</v>
      </c>
      <c r="J116"/>
      <c r="K116">
        <v>16.95</v>
      </c>
      <c r="L116">
        <v>0.0</v>
      </c>
      <c r="M116"/>
      <c r="N116"/>
      <c r="O116">
        <v>3.05</v>
      </c>
      <c r="P116">
        <v>0.0</v>
      </c>
      <c r="Q116">
        <v>20.0</v>
      </c>
      <c r="R116"/>
      <c r="S116"/>
      <c r="T116"/>
      <c r="U116"/>
      <c r="V116"/>
      <c r="W116">
        <v>18</v>
      </c>
    </row>
    <row r="117" spans="1:23">
      <c r="A117"/>
      <c r="B117" t="s">
        <v>32</v>
      </c>
      <c r="C117" t="s">
        <v>32</v>
      </c>
      <c r="D117" t="s">
        <v>33</v>
      </c>
      <c r="E117" t="s">
        <v>34</v>
      </c>
      <c r="F117" t="str">
        <f>"0000447"</f>
        <v>0000447</v>
      </c>
      <c r="G117">
        <v>1</v>
      </c>
      <c r="H117" t="str">
        <f>"00000000"</f>
        <v>00000000</v>
      </c>
      <c r="I117" t="s">
        <v>35</v>
      </c>
      <c r="J117"/>
      <c r="K117">
        <v>1.53</v>
      </c>
      <c r="L117">
        <v>0.0</v>
      </c>
      <c r="M117"/>
      <c r="N117"/>
      <c r="O117">
        <v>0.27</v>
      </c>
      <c r="P117">
        <v>0.0</v>
      </c>
      <c r="Q117">
        <v>1.8</v>
      </c>
      <c r="R117"/>
      <c r="S117"/>
      <c r="T117"/>
      <c r="U117"/>
      <c r="V117"/>
      <c r="W117">
        <v>18</v>
      </c>
    </row>
    <row r="118" spans="1:23">
      <c r="A118"/>
      <c r="B118" t="s">
        <v>32</v>
      </c>
      <c r="C118" t="s">
        <v>32</v>
      </c>
      <c r="D118" t="s">
        <v>33</v>
      </c>
      <c r="E118" t="s">
        <v>34</v>
      </c>
      <c r="F118" t="str">
        <f>"0000448"</f>
        <v>0000448</v>
      </c>
      <c r="G118">
        <v>1</v>
      </c>
      <c r="H118" t="str">
        <f>"00000000"</f>
        <v>00000000</v>
      </c>
      <c r="I118" t="s">
        <v>35</v>
      </c>
      <c r="J118"/>
      <c r="K118">
        <v>22.12</v>
      </c>
      <c r="L118">
        <v>0.0</v>
      </c>
      <c r="M118"/>
      <c r="N118"/>
      <c r="O118">
        <v>3.98</v>
      </c>
      <c r="P118">
        <v>0.2</v>
      </c>
      <c r="Q118">
        <v>26.3</v>
      </c>
      <c r="R118"/>
      <c r="S118"/>
      <c r="T118"/>
      <c r="U118"/>
      <c r="V118"/>
      <c r="W118">
        <v>18</v>
      </c>
    </row>
    <row r="119" spans="1:23">
      <c r="A119"/>
      <c r="B119" t="s">
        <v>32</v>
      </c>
      <c r="C119" t="s">
        <v>32</v>
      </c>
      <c r="D119" t="s">
        <v>33</v>
      </c>
      <c r="E119" t="s">
        <v>34</v>
      </c>
      <c r="F119" t="str">
        <f>"0000449"</f>
        <v>0000449</v>
      </c>
      <c r="G119">
        <v>1</v>
      </c>
      <c r="H119" t="str">
        <f>"00000000"</f>
        <v>00000000</v>
      </c>
      <c r="I119" t="s">
        <v>35</v>
      </c>
      <c r="J119"/>
      <c r="K119">
        <v>12.63</v>
      </c>
      <c r="L119">
        <v>0.0</v>
      </c>
      <c r="M119"/>
      <c r="N119"/>
      <c r="O119">
        <v>2.27</v>
      </c>
      <c r="P119">
        <v>0.0</v>
      </c>
      <c r="Q119">
        <v>14.9</v>
      </c>
      <c r="R119"/>
      <c r="S119"/>
      <c r="T119"/>
      <c r="U119"/>
      <c r="V119"/>
      <c r="W119">
        <v>18</v>
      </c>
    </row>
    <row r="120" spans="1:23">
      <c r="A120"/>
      <c r="B120" t="s">
        <v>32</v>
      </c>
      <c r="C120" t="s">
        <v>32</v>
      </c>
      <c r="D120" t="s">
        <v>33</v>
      </c>
      <c r="E120" t="s">
        <v>34</v>
      </c>
      <c r="F120" t="str">
        <f>"0000450"</f>
        <v>0000450</v>
      </c>
      <c r="G120">
        <v>1</v>
      </c>
      <c r="H120" t="str">
        <f>"00000000"</f>
        <v>00000000</v>
      </c>
      <c r="I120" t="s">
        <v>35</v>
      </c>
      <c r="J120"/>
      <c r="K120">
        <v>10.59</v>
      </c>
      <c r="L120">
        <v>0.0</v>
      </c>
      <c r="M120"/>
      <c r="N120"/>
      <c r="O120">
        <v>1.91</v>
      </c>
      <c r="P120">
        <v>0.2</v>
      </c>
      <c r="Q120">
        <v>12.7</v>
      </c>
      <c r="R120"/>
      <c r="S120"/>
      <c r="T120"/>
      <c r="U120"/>
      <c r="V120"/>
      <c r="W120">
        <v>18</v>
      </c>
    </row>
    <row r="121" spans="1:23">
      <c r="A121"/>
      <c r="B121" t="s">
        <v>32</v>
      </c>
      <c r="C121" t="s">
        <v>32</v>
      </c>
      <c r="D121" t="s">
        <v>33</v>
      </c>
      <c r="E121" t="s">
        <v>34</v>
      </c>
      <c r="F121" t="str">
        <f>"0000451"</f>
        <v>0000451</v>
      </c>
      <c r="G121">
        <v>1</v>
      </c>
      <c r="H121" t="str">
        <f>"00000000"</f>
        <v>00000000</v>
      </c>
      <c r="I121" t="s">
        <v>35</v>
      </c>
      <c r="J121"/>
      <c r="K121">
        <v>7.54</v>
      </c>
      <c r="L121">
        <v>0.0</v>
      </c>
      <c r="M121"/>
      <c r="N121"/>
      <c r="O121">
        <v>1.36</v>
      </c>
      <c r="P121">
        <v>0.0</v>
      </c>
      <c r="Q121">
        <v>8.9</v>
      </c>
      <c r="R121"/>
      <c r="S121"/>
      <c r="T121"/>
      <c r="U121"/>
      <c r="V121"/>
      <c r="W121">
        <v>18</v>
      </c>
    </row>
    <row r="122" spans="1:23">
      <c r="A122"/>
      <c r="B122" t="s">
        <v>32</v>
      </c>
      <c r="C122" t="s">
        <v>32</v>
      </c>
      <c r="D122" t="s">
        <v>33</v>
      </c>
      <c r="E122" t="s">
        <v>34</v>
      </c>
      <c r="F122" t="str">
        <f>"0000452"</f>
        <v>0000452</v>
      </c>
      <c r="G122">
        <v>1</v>
      </c>
      <c r="H122" t="str">
        <f>"00000000"</f>
        <v>00000000</v>
      </c>
      <c r="I122" t="s">
        <v>35</v>
      </c>
      <c r="J122"/>
      <c r="K122">
        <v>24.1</v>
      </c>
      <c r="L122">
        <v>0.0</v>
      </c>
      <c r="M122"/>
      <c r="N122"/>
      <c r="O122">
        <v>4.34</v>
      </c>
      <c r="P122">
        <v>0.0</v>
      </c>
      <c r="Q122">
        <v>28.44</v>
      </c>
      <c r="R122"/>
      <c r="S122"/>
      <c r="T122"/>
      <c r="U122"/>
      <c r="V122"/>
      <c r="W122">
        <v>18</v>
      </c>
    </row>
    <row r="123" spans="1:23">
      <c r="A123"/>
      <c r="B123" t="s">
        <v>32</v>
      </c>
      <c r="C123" t="s">
        <v>32</v>
      </c>
      <c r="D123" t="s">
        <v>33</v>
      </c>
      <c r="E123" t="s">
        <v>34</v>
      </c>
      <c r="F123" t="str">
        <f>"0000453"</f>
        <v>0000453</v>
      </c>
      <c r="G123">
        <v>1</v>
      </c>
      <c r="H123" t="str">
        <f>"00000000"</f>
        <v>00000000</v>
      </c>
      <c r="I123" t="s">
        <v>35</v>
      </c>
      <c r="J123"/>
      <c r="K123">
        <v>5.64</v>
      </c>
      <c r="L123">
        <v>0.0</v>
      </c>
      <c r="M123"/>
      <c r="N123"/>
      <c r="O123">
        <v>1.01</v>
      </c>
      <c r="P123">
        <v>0.2</v>
      </c>
      <c r="Q123">
        <v>6.85</v>
      </c>
      <c r="R123"/>
      <c r="S123"/>
      <c r="T123"/>
      <c r="U123"/>
      <c r="V123"/>
      <c r="W123">
        <v>18</v>
      </c>
    </row>
    <row r="124" spans="1:23">
      <c r="A124"/>
      <c r="B124" t="s">
        <v>32</v>
      </c>
      <c r="C124" t="s">
        <v>32</v>
      </c>
      <c r="D124" t="s">
        <v>33</v>
      </c>
      <c r="E124" t="s">
        <v>34</v>
      </c>
      <c r="F124" t="str">
        <f>"0000454"</f>
        <v>0000454</v>
      </c>
      <c r="G124">
        <v>1</v>
      </c>
      <c r="H124" t="str">
        <f>"00000000"</f>
        <v>00000000</v>
      </c>
      <c r="I124" t="s">
        <v>35</v>
      </c>
      <c r="J124"/>
      <c r="K124">
        <v>2.97</v>
      </c>
      <c r="L124">
        <v>0.0</v>
      </c>
      <c r="M124"/>
      <c r="N124"/>
      <c r="O124">
        <v>0.53</v>
      </c>
      <c r="P124">
        <v>0.0</v>
      </c>
      <c r="Q124">
        <v>3.5</v>
      </c>
      <c r="R124"/>
      <c r="S124"/>
      <c r="T124"/>
      <c r="U124"/>
      <c r="V124"/>
      <c r="W124">
        <v>18</v>
      </c>
    </row>
    <row r="125" spans="1:23">
      <c r="A125"/>
      <c r="B125" t="s">
        <v>32</v>
      </c>
      <c r="C125" t="s">
        <v>32</v>
      </c>
      <c r="D125" t="s">
        <v>33</v>
      </c>
      <c r="E125" t="s">
        <v>34</v>
      </c>
      <c r="F125" t="str">
        <f>"0000455"</f>
        <v>0000455</v>
      </c>
      <c r="G125">
        <v>1</v>
      </c>
      <c r="H125" t="str">
        <f>"00000000"</f>
        <v>00000000</v>
      </c>
      <c r="I125" t="s">
        <v>35</v>
      </c>
      <c r="J125"/>
      <c r="K125">
        <v>20.0</v>
      </c>
      <c r="L125">
        <v>0.0</v>
      </c>
      <c r="M125"/>
      <c r="N125"/>
      <c r="O125">
        <v>3.6</v>
      </c>
      <c r="P125">
        <v>0.2</v>
      </c>
      <c r="Q125">
        <v>23.8</v>
      </c>
      <c r="R125"/>
      <c r="S125"/>
      <c r="T125"/>
      <c r="U125"/>
      <c r="V125"/>
      <c r="W125">
        <v>18</v>
      </c>
    </row>
    <row r="126" spans="1:23">
      <c r="A126"/>
      <c r="B126" t="s">
        <v>32</v>
      </c>
      <c r="C126" t="s">
        <v>32</v>
      </c>
      <c r="D126" t="s">
        <v>33</v>
      </c>
      <c r="E126" t="s">
        <v>34</v>
      </c>
      <c r="F126" t="str">
        <f>"0000456"</f>
        <v>0000456</v>
      </c>
      <c r="G126">
        <v>1</v>
      </c>
      <c r="H126" t="str">
        <f>"00000000"</f>
        <v>00000000</v>
      </c>
      <c r="I126" t="s">
        <v>35</v>
      </c>
      <c r="J126"/>
      <c r="K126">
        <v>6.78</v>
      </c>
      <c r="L126">
        <v>0.0</v>
      </c>
      <c r="M126"/>
      <c r="N126"/>
      <c r="O126">
        <v>1.22</v>
      </c>
      <c r="P126">
        <v>0.0</v>
      </c>
      <c r="Q126">
        <v>8.0</v>
      </c>
      <c r="R126"/>
      <c r="S126"/>
      <c r="T126"/>
      <c r="U126"/>
      <c r="V126"/>
      <c r="W126">
        <v>18</v>
      </c>
    </row>
    <row r="127" spans="1:23">
      <c r="A127"/>
      <c r="B127" t="s">
        <v>32</v>
      </c>
      <c r="C127" t="s">
        <v>32</v>
      </c>
      <c r="D127" t="s">
        <v>33</v>
      </c>
      <c r="E127" t="s">
        <v>34</v>
      </c>
      <c r="F127" t="str">
        <f>"0000457"</f>
        <v>0000457</v>
      </c>
      <c r="G127">
        <v>1</v>
      </c>
      <c r="H127" t="str">
        <f>"00000000"</f>
        <v>00000000</v>
      </c>
      <c r="I127" t="s">
        <v>35</v>
      </c>
      <c r="J127"/>
      <c r="K127">
        <v>39.86</v>
      </c>
      <c r="L127">
        <v>0.0</v>
      </c>
      <c r="M127"/>
      <c r="N127"/>
      <c r="O127">
        <v>7.18</v>
      </c>
      <c r="P127">
        <v>0.2</v>
      </c>
      <c r="Q127">
        <v>47.24</v>
      </c>
      <c r="R127"/>
      <c r="S127"/>
      <c r="T127"/>
      <c r="U127"/>
      <c r="V127"/>
      <c r="W127">
        <v>18</v>
      </c>
    </row>
    <row r="128" spans="1:23">
      <c r="A128"/>
      <c r="B128" t="s">
        <v>32</v>
      </c>
      <c r="C128" t="s">
        <v>32</v>
      </c>
      <c r="D128" t="s">
        <v>33</v>
      </c>
      <c r="E128" t="s">
        <v>34</v>
      </c>
      <c r="F128" t="str">
        <f>"0000458"</f>
        <v>0000458</v>
      </c>
      <c r="G128">
        <v>1</v>
      </c>
      <c r="H128" t="str">
        <f>"00000000"</f>
        <v>00000000</v>
      </c>
      <c r="I128" t="s">
        <v>35</v>
      </c>
      <c r="J128"/>
      <c r="K128">
        <v>38.87</v>
      </c>
      <c r="L128">
        <v>0.0</v>
      </c>
      <c r="M128"/>
      <c r="N128"/>
      <c r="O128">
        <v>7.0</v>
      </c>
      <c r="P128">
        <v>0.2</v>
      </c>
      <c r="Q128">
        <v>46.07</v>
      </c>
      <c r="R128"/>
      <c r="S128"/>
      <c r="T128"/>
      <c r="U128"/>
      <c r="V128"/>
      <c r="W128">
        <v>18</v>
      </c>
    </row>
    <row r="129" spans="1:23">
      <c r="A129"/>
      <c r="B129" t="s">
        <v>32</v>
      </c>
      <c r="C129" t="s">
        <v>32</v>
      </c>
      <c r="D129" t="s">
        <v>33</v>
      </c>
      <c r="E129" t="s">
        <v>34</v>
      </c>
      <c r="F129" t="str">
        <f>"0000459"</f>
        <v>0000459</v>
      </c>
      <c r="G129">
        <v>1</v>
      </c>
      <c r="H129" t="str">
        <f>"00000000"</f>
        <v>00000000</v>
      </c>
      <c r="I129" t="s">
        <v>35</v>
      </c>
      <c r="J129"/>
      <c r="K129">
        <v>22.74</v>
      </c>
      <c r="L129">
        <v>0.0</v>
      </c>
      <c r="M129"/>
      <c r="N129"/>
      <c r="O129">
        <v>4.09</v>
      </c>
      <c r="P129">
        <v>0.2</v>
      </c>
      <c r="Q129">
        <v>27.04</v>
      </c>
      <c r="R129"/>
      <c r="S129"/>
      <c r="T129"/>
      <c r="U129"/>
      <c r="V129"/>
      <c r="W129">
        <v>18</v>
      </c>
    </row>
    <row r="130" spans="1:23">
      <c r="A130"/>
      <c r="B130" t="s">
        <v>32</v>
      </c>
      <c r="C130" t="s">
        <v>32</v>
      </c>
      <c r="D130" t="s">
        <v>33</v>
      </c>
      <c r="E130" t="s">
        <v>34</v>
      </c>
      <c r="F130" t="str">
        <f>"0000460"</f>
        <v>0000460</v>
      </c>
      <c r="G130">
        <v>1</v>
      </c>
      <c r="H130" t="str">
        <f>"00000000"</f>
        <v>00000000</v>
      </c>
      <c r="I130" t="s">
        <v>35</v>
      </c>
      <c r="J130"/>
      <c r="K130">
        <v>63.72</v>
      </c>
      <c r="L130">
        <v>0.0</v>
      </c>
      <c r="M130"/>
      <c r="N130"/>
      <c r="O130">
        <v>11.47</v>
      </c>
      <c r="P130">
        <v>0.4</v>
      </c>
      <c r="Q130">
        <v>75.59</v>
      </c>
      <c r="R130"/>
      <c r="S130"/>
      <c r="T130"/>
      <c r="U130"/>
      <c r="V130"/>
      <c r="W130">
        <v>18</v>
      </c>
    </row>
    <row r="131" spans="1:23">
      <c r="A131"/>
      <c r="B131" t="s">
        <v>32</v>
      </c>
      <c r="C131" t="s">
        <v>32</v>
      </c>
      <c r="D131" t="s">
        <v>33</v>
      </c>
      <c r="E131" t="s">
        <v>34</v>
      </c>
      <c r="F131" t="str">
        <f>"0000461"</f>
        <v>0000461</v>
      </c>
      <c r="G131">
        <v>1</v>
      </c>
      <c r="H131" t="str">
        <f>"00000000"</f>
        <v>00000000</v>
      </c>
      <c r="I131" t="s">
        <v>35</v>
      </c>
      <c r="J131"/>
      <c r="K131">
        <v>6.36</v>
      </c>
      <c r="L131">
        <v>0.0</v>
      </c>
      <c r="M131"/>
      <c r="N131"/>
      <c r="O131">
        <v>1.14</v>
      </c>
      <c r="P131">
        <v>0.0</v>
      </c>
      <c r="Q131">
        <v>7.5</v>
      </c>
      <c r="R131"/>
      <c r="S131"/>
      <c r="T131"/>
      <c r="U131"/>
      <c r="V131"/>
      <c r="W131">
        <v>18</v>
      </c>
    </row>
    <row r="132" spans="1:23">
      <c r="A132"/>
      <c r="B132" t="s">
        <v>32</v>
      </c>
      <c r="C132" t="s">
        <v>32</v>
      </c>
      <c r="D132" t="s">
        <v>33</v>
      </c>
      <c r="E132" t="s">
        <v>34</v>
      </c>
      <c r="F132" t="str">
        <f>"0000462"</f>
        <v>0000462</v>
      </c>
      <c r="G132">
        <v>1</v>
      </c>
      <c r="H132" t="str">
        <f>"00000000"</f>
        <v>00000000</v>
      </c>
      <c r="I132" t="s">
        <v>35</v>
      </c>
      <c r="J132"/>
      <c r="K132">
        <v>15.34</v>
      </c>
      <c r="L132">
        <v>0.0</v>
      </c>
      <c r="M132"/>
      <c r="N132"/>
      <c r="O132">
        <v>2.76</v>
      </c>
      <c r="P132">
        <v>0.2</v>
      </c>
      <c r="Q132">
        <v>18.3</v>
      </c>
      <c r="R132"/>
      <c r="S132"/>
      <c r="T132"/>
      <c r="U132"/>
      <c r="V132"/>
      <c r="W132">
        <v>18</v>
      </c>
    </row>
    <row r="133" spans="1:23">
      <c r="A133"/>
      <c r="B133" t="s">
        <v>32</v>
      </c>
      <c r="C133" t="s">
        <v>32</v>
      </c>
      <c r="D133" t="s">
        <v>33</v>
      </c>
      <c r="E133" t="s">
        <v>34</v>
      </c>
      <c r="F133" t="str">
        <f>"0000463"</f>
        <v>0000463</v>
      </c>
      <c r="G133">
        <v>1</v>
      </c>
      <c r="H133" t="str">
        <f>"00000000"</f>
        <v>00000000</v>
      </c>
      <c r="I133" t="s">
        <v>35</v>
      </c>
      <c r="J133"/>
      <c r="K133">
        <v>1.44</v>
      </c>
      <c r="L133">
        <v>0.0</v>
      </c>
      <c r="M133"/>
      <c r="N133"/>
      <c r="O133">
        <v>0.26</v>
      </c>
      <c r="P133">
        <v>0.0</v>
      </c>
      <c r="Q133">
        <v>1.7</v>
      </c>
      <c r="R133"/>
      <c r="S133"/>
      <c r="T133"/>
      <c r="U133"/>
      <c r="V133"/>
      <c r="W133">
        <v>18</v>
      </c>
    </row>
    <row r="134" spans="1:23">
      <c r="A134"/>
      <c r="B134" t="s">
        <v>32</v>
      </c>
      <c r="C134" t="s">
        <v>32</v>
      </c>
      <c r="D134" t="s">
        <v>33</v>
      </c>
      <c r="E134" t="s">
        <v>34</v>
      </c>
      <c r="F134" t="str">
        <f>"0000464"</f>
        <v>0000464</v>
      </c>
      <c r="G134">
        <v>1</v>
      </c>
      <c r="H134" t="str">
        <f>"00000000"</f>
        <v>00000000</v>
      </c>
      <c r="I134" t="s">
        <v>35</v>
      </c>
      <c r="J134"/>
      <c r="K134">
        <v>7.59</v>
      </c>
      <c r="L134">
        <v>0.0</v>
      </c>
      <c r="M134"/>
      <c r="N134"/>
      <c r="O134">
        <v>1.37</v>
      </c>
      <c r="P134">
        <v>0.2</v>
      </c>
      <c r="Q134">
        <v>9.16</v>
      </c>
      <c r="R134"/>
      <c r="S134"/>
      <c r="T134"/>
      <c r="U134"/>
      <c r="V134"/>
      <c r="W134">
        <v>18</v>
      </c>
    </row>
    <row r="135" spans="1:23">
      <c r="A135"/>
      <c r="B135" t="s">
        <v>32</v>
      </c>
      <c r="C135" t="s">
        <v>32</v>
      </c>
      <c r="D135" t="s">
        <v>33</v>
      </c>
      <c r="E135" t="s">
        <v>34</v>
      </c>
      <c r="F135" t="str">
        <f>"0000465"</f>
        <v>0000465</v>
      </c>
      <c r="G135">
        <v>1</v>
      </c>
      <c r="H135" t="str">
        <f>"00000000"</f>
        <v>00000000</v>
      </c>
      <c r="I135" t="s">
        <v>35</v>
      </c>
      <c r="J135"/>
      <c r="K135">
        <v>7.97</v>
      </c>
      <c r="L135">
        <v>0.0</v>
      </c>
      <c r="M135"/>
      <c r="N135"/>
      <c r="O135">
        <v>1.43</v>
      </c>
      <c r="P135">
        <v>0.0</v>
      </c>
      <c r="Q135">
        <v>9.4</v>
      </c>
      <c r="R135"/>
      <c r="S135"/>
      <c r="T135"/>
      <c r="U135"/>
      <c r="V135"/>
      <c r="W135">
        <v>18</v>
      </c>
    </row>
    <row r="136" spans="1:23">
      <c r="A136"/>
      <c r="B136" t="s">
        <v>32</v>
      </c>
      <c r="C136" t="s">
        <v>32</v>
      </c>
      <c r="D136" t="s">
        <v>33</v>
      </c>
      <c r="E136" t="s">
        <v>34</v>
      </c>
      <c r="F136" t="str">
        <f>"0000466"</f>
        <v>0000466</v>
      </c>
      <c r="G136">
        <v>1</v>
      </c>
      <c r="H136" t="str">
        <f>"00000000"</f>
        <v>00000000</v>
      </c>
      <c r="I136" t="s">
        <v>35</v>
      </c>
      <c r="J136"/>
      <c r="K136">
        <v>0.42</v>
      </c>
      <c r="L136">
        <v>0.0</v>
      </c>
      <c r="M136"/>
      <c r="N136"/>
      <c r="O136">
        <v>0.08</v>
      </c>
      <c r="P136">
        <v>0.0</v>
      </c>
      <c r="Q136">
        <v>0.5</v>
      </c>
      <c r="R136"/>
      <c r="S136"/>
      <c r="T136"/>
      <c r="U136"/>
      <c r="V136"/>
      <c r="W136">
        <v>18</v>
      </c>
    </row>
    <row r="137" spans="1:23">
      <c r="A137"/>
      <c r="B137" t="s">
        <v>43</v>
      </c>
      <c r="C137" t="s">
        <v>43</v>
      </c>
      <c r="D137" t="s">
        <v>33</v>
      </c>
      <c r="E137" t="s">
        <v>34</v>
      </c>
      <c r="F137" t="str">
        <f>"0000467"</f>
        <v>0000467</v>
      </c>
      <c r="G137">
        <v>1</v>
      </c>
      <c r="H137" t="str">
        <f>"00000000"</f>
        <v>00000000</v>
      </c>
      <c r="I137" t="s">
        <v>35</v>
      </c>
      <c r="J137"/>
      <c r="K137">
        <v>1.86</v>
      </c>
      <c r="L137">
        <v>0.0</v>
      </c>
      <c r="M137"/>
      <c r="N137"/>
      <c r="O137">
        <v>0.34</v>
      </c>
      <c r="P137">
        <v>0.0</v>
      </c>
      <c r="Q137">
        <v>2.2</v>
      </c>
      <c r="R137"/>
      <c r="S137"/>
      <c r="T137"/>
      <c r="U137"/>
      <c r="V137"/>
      <c r="W137">
        <v>18</v>
      </c>
    </row>
    <row r="138" spans="1:23">
      <c r="A138"/>
      <c r="B138" t="s">
        <v>43</v>
      </c>
      <c r="C138" t="s">
        <v>43</v>
      </c>
      <c r="D138" t="s">
        <v>33</v>
      </c>
      <c r="E138" t="s">
        <v>34</v>
      </c>
      <c r="F138" t="str">
        <f>"0000468"</f>
        <v>0000468</v>
      </c>
      <c r="G138">
        <v>1</v>
      </c>
      <c r="H138" t="str">
        <f>"00000000"</f>
        <v>00000000</v>
      </c>
      <c r="I138" t="s">
        <v>35</v>
      </c>
      <c r="J138"/>
      <c r="K138">
        <v>1.53</v>
      </c>
      <c r="L138">
        <v>0.0</v>
      </c>
      <c r="M138"/>
      <c r="N138"/>
      <c r="O138">
        <v>0.27</v>
      </c>
      <c r="P138">
        <v>0.0</v>
      </c>
      <c r="Q138">
        <v>1.8</v>
      </c>
      <c r="R138"/>
      <c r="S138"/>
      <c r="T138"/>
      <c r="U138"/>
      <c r="V138"/>
      <c r="W138">
        <v>18</v>
      </c>
    </row>
    <row r="139" spans="1:23">
      <c r="A139"/>
      <c r="B139" t="s">
        <v>43</v>
      </c>
      <c r="C139" t="s">
        <v>43</v>
      </c>
      <c r="D139" t="s">
        <v>33</v>
      </c>
      <c r="E139" t="s">
        <v>34</v>
      </c>
      <c r="F139" t="str">
        <f>"0000469"</f>
        <v>0000469</v>
      </c>
      <c r="G139">
        <v>1</v>
      </c>
      <c r="H139" t="str">
        <f>"00000000"</f>
        <v>00000000</v>
      </c>
      <c r="I139" t="s">
        <v>35</v>
      </c>
      <c r="J139"/>
      <c r="K139">
        <v>4.94</v>
      </c>
      <c r="L139">
        <v>0.0</v>
      </c>
      <c r="M139"/>
      <c r="N139"/>
      <c r="O139">
        <v>0.89</v>
      </c>
      <c r="P139">
        <v>0.0</v>
      </c>
      <c r="Q139">
        <v>5.83</v>
      </c>
      <c r="R139"/>
      <c r="S139"/>
      <c r="T139"/>
      <c r="U139"/>
      <c r="V139"/>
      <c r="W139">
        <v>18</v>
      </c>
    </row>
    <row r="140" spans="1:23">
      <c r="A140"/>
      <c r="B140" t="s">
        <v>43</v>
      </c>
      <c r="C140" t="s">
        <v>43</v>
      </c>
      <c r="D140" t="s">
        <v>33</v>
      </c>
      <c r="E140" t="s">
        <v>34</v>
      </c>
      <c r="F140" t="str">
        <f>"0000470"</f>
        <v>0000470</v>
      </c>
      <c r="G140">
        <v>1</v>
      </c>
      <c r="H140" t="str">
        <f>"00000000"</f>
        <v>00000000</v>
      </c>
      <c r="I140" t="s">
        <v>35</v>
      </c>
      <c r="J140"/>
      <c r="K140">
        <v>11.09</v>
      </c>
      <c r="L140">
        <v>0.0</v>
      </c>
      <c r="M140"/>
      <c r="N140"/>
      <c r="O140">
        <v>2.0</v>
      </c>
      <c r="P140">
        <v>0.2</v>
      </c>
      <c r="Q140">
        <v>13.29</v>
      </c>
      <c r="R140"/>
      <c r="S140"/>
      <c r="T140"/>
      <c r="U140"/>
      <c r="V140"/>
      <c r="W140">
        <v>18</v>
      </c>
    </row>
    <row r="141" spans="1:23">
      <c r="A141"/>
      <c r="B141" t="s">
        <v>43</v>
      </c>
      <c r="C141" t="s">
        <v>43</v>
      </c>
      <c r="D141" t="s">
        <v>33</v>
      </c>
      <c r="E141" t="s">
        <v>34</v>
      </c>
      <c r="F141" t="str">
        <f>"0000471"</f>
        <v>0000471</v>
      </c>
      <c r="G141">
        <v>1</v>
      </c>
      <c r="H141" t="str">
        <f>"00000000"</f>
        <v>00000000</v>
      </c>
      <c r="I141" t="s">
        <v>35</v>
      </c>
      <c r="J141"/>
      <c r="K141">
        <v>51.39</v>
      </c>
      <c r="L141">
        <v>0.0</v>
      </c>
      <c r="M141"/>
      <c r="N141"/>
      <c r="O141">
        <v>9.25</v>
      </c>
      <c r="P141">
        <v>0.2</v>
      </c>
      <c r="Q141">
        <v>60.84</v>
      </c>
      <c r="R141"/>
      <c r="S141"/>
      <c r="T141"/>
      <c r="U141"/>
      <c r="V141"/>
      <c r="W141">
        <v>18</v>
      </c>
    </row>
    <row r="142" spans="1:23">
      <c r="A142"/>
      <c r="B142" t="s">
        <v>43</v>
      </c>
      <c r="C142" t="s">
        <v>43</v>
      </c>
      <c r="D142" t="s">
        <v>33</v>
      </c>
      <c r="E142" t="s">
        <v>34</v>
      </c>
      <c r="F142" t="str">
        <f>"0000472"</f>
        <v>0000472</v>
      </c>
      <c r="G142">
        <v>1</v>
      </c>
      <c r="H142" t="str">
        <f>"00000000"</f>
        <v>00000000</v>
      </c>
      <c r="I142" t="s">
        <v>35</v>
      </c>
      <c r="J142"/>
      <c r="K142">
        <v>3.81</v>
      </c>
      <c r="L142">
        <v>0.0</v>
      </c>
      <c r="M142"/>
      <c r="N142"/>
      <c r="O142">
        <v>0.69</v>
      </c>
      <c r="P142">
        <v>0.0</v>
      </c>
      <c r="Q142">
        <v>4.5</v>
      </c>
      <c r="R142"/>
      <c r="S142"/>
      <c r="T142"/>
      <c r="U142"/>
      <c r="V142"/>
      <c r="W142">
        <v>18</v>
      </c>
    </row>
    <row r="143" spans="1:23">
      <c r="A143"/>
      <c r="B143" t="s">
        <v>43</v>
      </c>
      <c r="C143" t="s">
        <v>43</v>
      </c>
      <c r="D143" t="s">
        <v>33</v>
      </c>
      <c r="E143" t="s">
        <v>34</v>
      </c>
      <c r="F143" t="str">
        <f>"0000473"</f>
        <v>0000473</v>
      </c>
      <c r="G143">
        <v>1</v>
      </c>
      <c r="H143" t="str">
        <f>"00000000"</f>
        <v>00000000</v>
      </c>
      <c r="I143" t="s">
        <v>35</v>
      </c>
      <c r="J143"/>
      <c r="K143">
        <v>6.36</v>
      </c>
      <c r="L143">
        <v>0.0</v>
      </c>
      <c r="M143"/>
      <c r="N143"/>
      <c r="O143">
        <v>1.14</v>
      </c>
      <c r="P143">
        <v>0.0</v>
      </c>
      <c r="Q143">
        <v>7.5</v>
      </c>
      <c r="R143"/>
      <c r="S143"/>
      <c r="T143"/>
      <c r="U143"/>
      <c r="V143"/>
      <c r="W143">
        <v>18</v>
      </c>
    </row>
    <row r="144" spans="1:23">
      <c r="A144"/>
      <c r="B144" t="s">
        <v>43</v>
      </c>
      <c r="C144" t="s">
        <v>43</v>
      </c>
      <c r="D144" t="s">
        <v>33</v>
      </c>
      <c r="E144" t="s">
        <v>34</v>
      </c>
      <c r="F144" t="str">
        <f>"0000474"</f>
        <v>0000474</v>
      </c>
      <c r="G144">
        <v>1</v>
      </c>
      <c r="H144" t="str">
        <f>"00000000"</f>
        <v>00000000</v>
      </c>
      <c r="I144" t="s">
        <v>35</v>
      </c>
      <c r="J144"/>
      <c r="K144">
        <v>5.17</v>
      </c>
      <c r="L144">
        <v>0.0</v>
      </c>
      <c r="M144"/>
      <c r="N144"/>
      <c r="O144">
        <v>0.93</v>
      </c>
      <c r="P144">
        <v>0.2</v>
      </c>
      <c r="Q144">
        <v>6.3</v>
      </c>
      <c r="R144"/>
      <c r="S144"/>
      <c r="T144"/>
      <c r="U144"/>
      <c r="V144"/>
      <c r="W144">
        <v>18</v>
      </c>
    </row>
    <row r="145" spans="1:23">
      <c r="A145"/>
      <c r="B145" t="s">
        <v>43</v>
      </c>
      <c r="C145" t="s">
        <v>43</v>
      </c>
      <c r="D145" t="s">
        <v>33</v>
      </c>
      <c r="E145" t="s">
        <v>34</v>
      </c>
      <c r="F145" t="str">
        <f>"0000475"</f>
        <v>0000475</v>
      </c>
      <c r="G145">
        <v>1</v>
      </c>
      <c r="H145" t="str">
        <f>"00000000"</f>
        <v>00000000</v>
      </c>
      <c r="I145" t="s">
        <v>35</v>
      </c>
      <c r="J145"/>
      <c r="K145">
        <v>5.51</v>
      </c>
      <c r="L145">
        <v>0.0</v>
      </c>
      <c r="M145"/>
      <c r="N145"/>
      <c r="O145">
        <v>0.99</v>
      </c>
      <c r="P145">
        <v>0.0</v>
      </c>
      <c r="Q145">
        <v>6.5</v>
      </c>
      <c r="R145"/>
      <c r="S145"/>
      <c r="T145"/>
      <c r="U145"/>
      <c r="V145"/>
      <c r="W145">
        <v>18</v>
      </c>
    </row>
    <row r="146" spans="1:23">
      <c r="A146"/>
      <c r="B146" t="s">
        <v>43</v>
      </c>
      <c r="C146" t="s">
        <v>43</v>
      </c>
      <c r="D146" t="s">
        <v>33</v>
      </c>
      <c r="E146" t="s">
        <v>34</v>
      </c>
      <c r="F146" t="str">
        <f>"0000476"</f>
        <v>0000476</v>
      </c>
      <c r="G146">
        <v>1</v>
      </c>
      <c r="H146" t="str">
        <f>"00000000"</f>
        <v>00000000</v>
      </c>
      <c r="I146" t="s">
        <v>35</v>
      </c>
      <c r="J146"/>
      <c r="K146">
        <v>7.63</v>
      </c>
      <c r="L146">
        <v>0.0</v>
      </c>
      <c r="M146"/>
      <c r="N146"/>
      <c r="O146">
        <v>1.37</v>
      </c>
      <c r="P146">
        <v>0.0</v>
      </c>
      <c r="Q146">
        <v>9.0</v>
      </c>
      <c r="R146"/>
      <c r="S146"/>
      <c r="T146"/>
      <c r="U146"/>
      <c r="V146"/>
      <c r="W146">
        <v>18</v>
      </c>
    </row>
    <row r="147" spans="1:23">
      <c r="A147"/>
      <c r="B147" t="s">
        <v>43</v>
      </c>
      <c r="C147" t="s">
        <v>43</v>
      </c>
      <c r="D147" t="s">
        <v>33</v>
      </c>
      <c r="E147" t="s">
        <v>34</v>
      </c>
      <c r="F147" t="str">
        <f>"0000477"</f>
        <v>0000477</v>
      </c>
      <c r="G147">
        <v>1</v>
      </c>
      <c r="H147" t="str">
        <f>"00000000"</f>
        <v>00000000</v>
      </c>
      <c r="I147" t="s">
        <v>35</v>
      </c>
      <c r="J147"/>
      <c r="K147">
        <v>25.04</v>
      </c>
      <c r="L147">
        <v>0.0</v>
      </c>
      <c r="M147"/>
      <c r="N147"/>
      <c r="O147">
        <v>4.51</v>
      </c>
      <c r="P147">
        <v>0.2</v>
      </c>
      <c r="Q147">
        <v>29.75</v>
      </c>
      <c r="R147"/>
      <c r="S147"/>
      <c r="T147"/>
      <c r="U147"/>
      <c r="V147"/>
      <c r="W147">
        <v>18</v>
      </c>
    </row>
    <row r="148" spans="1:23">
      <c r="A148"/>
      <c r="B148" t="s">
        <v>43</v>
      </c>
      <c r="C148" t="s">
        <v>43</v>
      </c>
      <c r="D148" t="s">
        <v>33</v>
      </c>
      <c r="E148" t="s">
        <v>34</v>
      </c>
      <c r="F148" t="str">
        <f>"0000478"</f>
        <v>0000478</v>
      </c>
      <c r="G148">
        <v>1</v>
      </c>
      <c r="H148" t="str">
        <f>"00000000"</f>
        <v>00000000</v>
      </c>
      <c r="I148" t="s">
        <v>35</v>
      </c>
      <c r="J148"/>
      <c r="K148">
        <v>10.8</v>
      </c>
      <c r="L148">
        <v>0.0</v>
      </c>
      <c r="M148"/>
      <c r="N148"/>
      <c r="O148">
        <v>1.94</v>
      </c>
      <c r="P148">
        <v>0.2</v>
      </c>
      <c r="Q148">
        <v>12.94</v>
      </c>
      <c r="R148"/>
      <c r="S148"/>
      <c r="T148"/>
      <c r="U148"/>
      <c r="V148"/>
      <c r="W148">
        <v>18</v>
      </c>
    </row>
    <row r="149" spans="1:23">
      <c r="A149"/>
      <c r="B149" t="s">
        <v>43</v>
      </c>
      <c r="C149" t="s">
        <v>43</v>
      </c>
      <c r="D149" t="s">
        <v>33</v>
      </c>
      <c r="E149" t="s">
        <v>34</v>
      </c>
      <c r="F149" t="str">
        <f>"0000479"</f>
        <v>0000479</v>
      </c>
      <c r="G149">
        <v>1</v>
      </c>
      <c r="H149" t="str">
        <f>"00000000"</f>
        <v>00000000</v>
      </c>
      <c r="I149" t="s">
        <v>35</v>
      </c>
      <c r="J149"/>
      <c r="K149">
        <v>6.15</v>
      </c>
      <c r="L149">
        <v>0.0</v>
      </c>
      <c r="M149"/>
      <c r="N149"/>
      <c r="O149">
        <v>1.11</v>
      </c>
      <c r="P149">
        <v>0.0</v>
      </c>
      <c r="Q149">
        <v>7.26</v>
      </c>
      <c r="R149"/>
      <c r="S149"/>
      <c r="T149"/>
      <c r="U149"/>
      <c r="V149"/>
      <c r="W149">
        <v>18</v>
      </c>
    </row>
    <row r="150" spans="1:23">
      <c r="A150"/>
      <c r="B150" t="s">
        <v>43</v>
      </c>
      <c r="C150" t="s">
        <v>43</v>
      </c>
      <c r="D150" t="s">
        <v>33</v>
      </c>
      <c r="E150" t="s">
        <v>34</v>
      </c>
      <c r="F150" t="str">
        <f>"0000480"</f>
        <v>0000480</v>
      </c>
      <c r="G150">
        <v>1</v>
      </c>
      <c r="H150" t="str">
        <f>"00000000"</f>
        <v>00000000</v>
      </c>
      <c r="I150" t="s">
        <v>35</v>
      </c>
      <c r="J150"/>
      <c r="K150">
        <v>2.54</v>
      </c>
      <c r="L150">
        <v>0.0</v>
      </c>
      <c r="M150"/>
      <c r="N150"/>
      <c r="O150">
        <v>0.46</v>
      </c>
      <c r="P150">
        <v>0.0</v>
      </c>
      <c r="Q150">
        <v>3.0</v>
      </c>
      <c r="R150"/>
      <c r="S150"/>
      <c r="T150"/>
      <c r="U150"/>
      <c r="V150"/>
      <c r="W150">
        <v>18</v>
      </c>
    </row>
    <row r="151" spans="1:23">
      <c r="A151"/>
      <c r="B151" t="s">
        <v>43</v>
      </c>
      <c r="C151" t="s">
        <v>43</v>
      </c>
      <c r="D151" t="s">
        <v>33</v>
      </c>
      <c r="E151" t="s">
        <v>34</v>
      </c>
      <c r="F151" t="str">
        <f>"0000481"</f>
        <v>0000481</v>
      </c>
      <c r="G151">
        <v>1</v>
      </c>
      <c r="H151" t="str">
        <f>"00000000"</f>
        <v>00000000</v>
      </c>
      <c r="I151" t="s">
        <v>35</v>
      </c>
      <c r="J151"/>
      <c r="K151">
        <v>1.27</v>
      </c>
      <c r="L151">
        <v>0.0</v>
      </c>
      <c r="M151"/>
      <c r="N151"/>
      <c r="O151">
        <v>0.23</v>
      </c>
      <c r="P151">
        <v>0.0</v>
      </c>
      <c r="Q151">
        <v>1.5</v>
      </c>
      <c r="R151"/>
      <c r="S151"/>
      <c r="T151"/>
      <c r="U151"/>
      <c r="V151"/>
      <c r="W151">
        <v>18</v>
      </c>
    </row>
    <row r="152" spans="1:23">
      <c r="A152"/>
      <c r="B152" t="s">
        <v>43</v>
      </c>
      <c r="C152" t="s">
        <v>43</v>
      </c>
      <c r="D152" t="s">
        <v>33</v>
      </c>
      <c r="E152" t="s">
        <v>34</v>
      </c>
      <c r="F152" t="str">
        <f>"0000482"</f>
        <v>0000482</v>
      </c>
      <c r="G152">
        <v>1</v>
      </c>
      <c r="H152" t="str">
        <f>"00000000"</f>
        <v>00000000</v>
      </c>
      <c r="I152" t="s">
        <v>35</v>
      </c>
      <c r="J152"/>
      <c r="K152">
        <v>21.71</v>
      </c>
      <c r="L152">
        <v>0.0</v>
      </c>
      <c r="M152"/>
      <c r="N152"/>
      <c r="O152">
        <v>3.91</v>
      </c>
      <c r="P152">
        <v>0.2</v>
      </c>
      <c r="Q152">
        <v>25.81</v>
      </c>
      <c r="R152"/>
      <c r="S152"/>
      <c r="T152"/>
      <c r="U152"/>
      <c r="V152"/>
      <c r="W152">
        <v>18</v>
      </c>
    </row>
    <row r="153" spans="1:23">
      <c r="A153"/>
      <c r="B153" t="s">
        <v>43</v>
      </c>
      <c r="C153" t="s">
        <v>43</v>
      </c>
      <c r="D153" t="s">
        <v>33</v>
      </c>
      <c r="E153" t="s">
        <v>34</v>
      </c>
      <c r="F153" t="str">
        <f>"0000483"</f>
        <v>0000483</v>
      </c>
      <c r="G153">
        <v>1</v>
      </c>
      <c r="H153" t="str">
        <f>"00000000"</f>
        <v>00000000</v>
      </c>
      <c r="I153" t="s">
        <v>35</v>
      </c>
      <c r="J153"/>
      <c r="K153">
        <v>14.32</v>
      </c>
      <c r="L153">
        <v>0.0</v>
      </c>
      <c r="M153"/>
      <c r="N153"/>
      <c r="O153">
        <v>2.58</v>
      </c>
      <c r="P153">
        <v>0.0</v>
      </c>
      <c r="Q153">
        <v>16.9</v>
      </c>
      <c r="R153"/>
      <c r="S153"/>
      <c r="T153"/>
      <c r="U153"/>
      <c r="V153"/>
      <c r="W153">
        <v>18</v>
      </c>
    </row>
    <row r="154" spans="1:23">
      <c r="A154"/>
      <c r="B154" t="s">
        <v>43</v>
      </c>
      <c r="C154" t="s">
        <v>43</v>
      </c>
      <c r="D154" t="s">
        <v>33</v>
      </c>
      <c r="E154" t="s">
        <v>34</v>
      </c>
      <c r="F154" t="str">
        <f>"0000484"</f>
        <v>0000484</v>
      </c>
      <c r="G154">
        <v>1</v>
      </c>
      <c r="H154" t="str">
        <f>"00000000"</f>
        <v>00000000</v>
      </c>
      <c r="I154" t="s">
        <v>35</v>
      </c>
      <c r="J154"/>
      <c r="K154">
        <v>4.66</v>
      </c>
      <c r="L154">
        <v>0.0</v>
      </c>
      <c r="M154"/>
      <c r="N154"/>
      <c r="O154">
        <v>0.84</v>
      </c>
      <c r="P154">
        <v>0.0</v>
      </c>
      <c r="Q154">
        <v>5.5</v>
      </c>
      <c r="R154"/>
      <c r="S154"/>
      <c r="T154"/>
      <c r="U154"/>
      <c r="V154"/>
      <c r="W154">
        <v>18</v>
      </c>
    </row>
    <row r="155" spans="1:23">
      <c r="A155"/>
      <c r="B155" t="s">
        <v>43</v>
      </c>
      <c r="C155" t="s">
        <v>43</v>
      </c>
      <c r="D155" t="s">
        <v>33</v>
      </c>
      <c r="E155" t="s">
        <v>34</v>
      </c>
      <c r="F155" t="str">
        <f>"0000485"</f>
        <v>0000485</v>
      </c>
      <c r="G155">
        <v>1</v>
      </c>
      <c r="H155" t="str">
        <f>"00000000"</f>
        <v>00000000</v>
      </c>
      <c r="I155" t="s">
        <v>35</v>
      </c>
      <c r="J155"/>
      <c r="K155">
        <v>1.27</v>
      </c>
      <c r="L155">
        <v>0.0</v>
      </c>
      <c r="M155"/>
      <c r="N155"/>
      <c r="O155">
        <v>0.23</v>
      </c>
      <c r="P155">
        <v>0.0</v>
      </c>
      <c r="Q155">
        <v>1.5</v>
      </c>
      <c r="R155"/>
      <c r="S155"/>
      <c r="T155"/>
      <c r="U155"/>
      <c r="V155"/>
      <c r="W155">
        <v>18</v>
      </c>
    </row>
    <row r="156" spans="1:23">
      <c r="A156"/>
      <c r="B156" t="s">
        <v>43</v>
      </c>
      <c r="C156" t="s">
        <v>43</v>
      </c>
      <c r="D156" t="s">
        <v>33</v>
      </c>
      <c r="E156" t="s">
        <v>34</v>
      </c>
      <c r="F156" t="str">
        <f>"0000486"</f>
        <v>0000486</v>
      </c>
      <c r="G156">
        <v>1</v>
      </c>
      <c r="H156" t="str">
        <f>"00000000"</f>
        <v>00000000</v>
      </c>
      <c r="I156" t="s">
        <v>35</v>
      </c>
      <c r="J156"/>
      <c r="K156">
        <v>11.06</v>
      </c>
      <c r="L156">
        <v>0.0</v>
      </c>
      <c r="M156"/>
      <c r="N156"/>
      <c r="O156">
        <v>1.99</v>
      </c>
      <c r="P156">
        <v>0.2</v>
      </c>
      <c r="Q156">
        <v>13.25</v>
      </c>
      <c r="R156"/>
      <c r="S156"/>
      <c r="T156"/>
      <c r="U156"/>
      <c r="V156"/>
      <c r="W156">
        <v>18</v>
      </c>
    </row>
    <row r="157" spans="1:23">
      <c r="A157"/>
      <c r="B157" t="s">
        <v>43</v>
      </c>
      <c r="C157" t="s">
        <v>43</v>
      </c>
      <c r="D157" t="s">
        <v>33</v>
      </c>
      <c r="E157" t="s">
        <v>34</v>
      </c>
      <c r="F157" t="str">
        <f>"0000487"</f>
        <v>0000487</v>
      </c>
      <c r="G157">
        <v>1</v>
      </c>
      <c r="H157" t="str">
        <f>"00000000"</f>
        <v>00000000</v>
      </c>
      <c r="I157" t="s">
        <v>35</v>
      </c>
      <c r="J157"/>
      <c r="K157">
        <v>37.99</v>
      </c>
      <c r="L157">
        <v>0.0</v>
      </c>
      <c r="M157"/>
      <c r="N157"/>
      <c r="O157">
        <v>6.84</v>
      </c>
      <c r="P157">
        <v>0.0</v>
      </c>
      <c r="Q157">
        <v>44.83</v>
      </c>
      <c r="R157"/>
      <c r="S157"/>
      <c r="T157"/>
      <c r="U157"/>
      <c r="V157"/>
      <c r="W157">
        <v>18</v>
      </c>
    </row>
    <row r="158" spans="1:23">
      <c r="A158"/>
      <c r="B158" t="s">
        <v>43</v>
      </c>
      <c r="C158" t="s">
        <v>43</v>
      </c>
      <c r="D158" t="s">
        <v>33</v>
      </c>
      <c r="E158" t="s">
        <v>34</v>
      </c>
      <c r="F158" t="str">
        <f>"0000488"</f>
        <v>0000488</v>
      </c>
      <c r="G158">
        <v>1</v>
      </c>
      <c r="H158" t="str">
        <f>"00000000"</f>
        <v>00000000</v>
      </c>
      <c r="I158" t="s">
        <v>35</v>
      </c>
      <c r="J158"/>
      <c r="K158">
        <v>23.47</v>
      </c>
      <c r="L158">
        <v>0.0</v>
      </c>
      <c r="M158"/>
      <c r="N158"/>
      <c r="O158">
        <v>4.23</v>
      </c>
      <c r="P158">
        <v>0.2</v>
      </c>
      <c r="Q158">
        <v>27.9</v>
      </c>
      <c r="R158"/>
      <c r="S158"/>
      <c r="T158"/>
      <c r="U158"/>
      <c r="V158"/>
      <c r="W158">
        <v>18</v>
      </c>
    </row>
    <row r="159" spans="1:23">
      <c r="A159"/>
      <c r="B159" t="s">
        <v>43</v>
      </c>
      <c r="C159" t="s">
        <v>43</v>
      </c>
      <c r="D159" t="s">
        <v>33</v>
      </c>
      <c r="E159" t="s">
        <v>34</v>
      </c>
      <c r="F159" t="str">
        <f>"0000489"</f>
        <v>0000489</v>
      </c>
      <c r="G159">
        <v>1</v>
      </c>
      <c r="H159" t="str">
        <f>"00000000"</f>
        <v>00000000</v>
      </c>
      <c r="I159" t="s">
        <v>35</v>
      </c>
      <c r="J159"/>
      <c r="K159">
        <v>3.81</v>
      </c>
      <c r="L159">
        <v>0.0</v>
      </c>
      <c r="M159"/>
      <c r="N159"/>
      <c r="O159">
        <v>0.69</v>
      </c>
      <c r="P159">
        <v>0.0</v>
      </c>
      <c r="Q159">
        <v>4.5</v>
      </c>
      <c r="R159"/>
      <c r="S159"/>
      <c r="T159"/>
      <c r="U159"/>
      <c r="V159"/>
      <c r="W159">
        <v>18</v>
      </c>
    </row>
    <row r="160" spans="1:23">
      <c r="A160"/>
      <c r="B160" t="s">
        <v>43</v>
      </c>
      <c r="C160" t="s">
        <v>43</v>
      </c>
      <c r="D160" t="s">
        <v>33</v>
      </c>
      <c r="E160" t="s">
        <v>34</v>
      </c>
      <c r="F160" t="str">
        <f>"0000490"</f>
        <v>0000490</v>
      </c>
      <c r="G160">
        <v>1</v>
      </c>
      <c r="H160" t="str">
        <f>"00000000"</f>
        <v>00000000</v>
      </c>
      <c r="I160" t="s">
        <v>35</v>
      </c>
      <c r="J160"/>
      <c r="K160">
        <v>0.08</v>
      </c>
      <c r="L160">
        <v>0.0</v>
      </c>
      <c r="M160"/>
      <c r="N160"/>
      <c r="O160">
        <v>0.02</v>
      </c>
      <c r="P160">
        <v>0.2</v>
      </c>
      <c r="Q160">
        <v>0.3</v>
      </c>
      <c r="R160"/>
      <c r="S160"/>
      <c r="T160"/>
      <c r="U160"/>
      <c r="V160"/>
      <c r="W160">
        <v>18</v>
      </c>
    </row>
    <row r="161" spans="1:23">
      <c r="A161"/>
      <c r="B161" t="s">
        <v>43</v>
      </c>
      <c r="C161" t="s">
        <v>43</v>
      </c>
      <c r="D161" t="s">
        <v>33</v>
      </c>
      <c r="E161" t="s">
        <v>34</v>
      </c>
      <c r="F161" t="str">
        <f>"0000491"</f>
        <v>0000491</v>
      </c>
      <c r="G161">
        <v>1</v>
      </c>
      <c r="H161" t="str">
        <f>"00000000"</f>
        <v>00000000</v>
      </c>
      <c r="I161" t="s">
        <v>35</v>
      </c>
      <c r="J161"/>
      <c r="K161">
        <v>2.71</v>
      </c>
      <c r="L161">
        <v>0.0</v>
      </c>
      <c r="M161"/>
      <c r="N161"/>
      <c r="O161">
        <v>0.49</v>
      </c>
      <c r="P161">
        <v>0.0</v>
      </c>
      <c r="Q161">
        <v>3.2</v>
      </c>
      <c r="R161"/>
      <c r="S161"/>
      <c r="T161"/>
      <c r="U161"/>
      <c r="V161"/>
      <c r="W161">
        <v>18</v>
      </c>
    </row>
    <row r="162" spans="1:23">
      <c r="A162"/>
      <c r="B162" t="s">
        <v>43</v>
      </c>
      <c r="C162" t="s">
        <v>43</v>
      </c>
      <c r="D162" t="s">
        <v>33</v>
      </c>
      <c r="E162" t="s">
        <v>34</v>
      </c>
      <c r="F162" t="str">
        <f>"0000492"</f>
        <v>0000492</v>
      </c>
      <c r="G162">
        <v>1</v>
      </c>
      <c r="H162" t="str">
        <f>"00000000"</f>
        <v>00000000</v>
      </c>
      <c r="I162" t="s">
        <v>35</v>
      </c>
      <c r="J162"/>
      <c r="K162">
        <v>4.07</v>
      </c>
      <c r="L162">
        <v>0.0</v>
      </c>
      <c r="M162"/>
      <c r="N162"/>
      <c r="O162">
        <v>0.73</v>
      </c>
      <c r="P162">
        <v>0.0</v>
      </c>
      <c r="Q162">
        <v>4.8</v>
      </c>
      <c r="R162"/>
      <c r="S162"/>
      <c r="T162"/>
      <c r="U162"/>
      <c r="V162"/>
      <c r="W162">
        <v>18</v>
      </c>
    </row>
    <row r="163" spans="1:23">
      <c r="A163"/>
      <c r="B163" t="s">
        <v>43</v>
      </c>
      <c r="C163" t="s">
        <v>43</v>
      </c>
      <c r="D163" t="s">
        <v>33</v>
      </c>
      <c r="E163" t="s">
        <v>34</v>
      </c>
      <c r="F163" t="str">
        <f>"0000493"</f>
        <v>0000493</v>
      </c>
      <c r="G163">
        <v>1</v>
      </c>
      <c r="H163" t="str">
        <f>"00000000"</f>
        <v>00000000</v>
      </c>
      <c r="I163" t="s">
        <v>35</v>
      </c>
      <c r="J163"/>
      <c r="K163">
        <v>2.54</v>
      </c>
      <c r="L163">
        <v>0.0</v>
      </c>
      <c r="M163"/>
      <c r="N163"/>
      <c r="O163">
        <v>0.46</v>
      </c>
      <c r="P163">
        <v>0.0</v>
      </c>
      <c r="Q163">
        <v>3.0</v>
      </c>
      <c r="R163"/>
      <c r="S163"/>
      <c r="T163"/>
      <c r="U163"/>
      <c r="V163"/>
      <c r="W163">
        <v>18</v>
      </c>
    </row>
    <row r="164" spans="1:23">
      <c r="A164"/>
      <c r="B164" t="s">
        <v>43</v>
      </c>
      <c r="C164" t="s">
        <v>43</v>
      </c>
      <c r="D164" t="s">
        <v>33</v>
      </c>
      <c r="E164" t="s">
        <v>34</v>
      </c>
      <c r="F164" t="str">
        <f>"0000494"</f>
        <v>0000494</v>
      </c>
      <c r="G164">
        <v>1</v>
      </c>
      <c r="H164" t="str">
        <f>"00000000"</f>
        <v>00000000</v>
      </c>
      <c r="I164" t="s">
        <v>35</v>
      </c>
      <c r="J164"/>
      <c r="K164">
        <v>1.69</v>
      </c>
      <c r="L164">
        <v>0.0</v>
      </c>
      <c r="M164"/>
      <c r="N164"/>
      <c r="O164">
        <v>0.31</v>
      </c>
      <c r="P164">
        <v>0.0</v>
      </c>
      <c r="Q164">
        <v>2.0</v>
      </c>
      <c r="R164"/>
      <c r="S164"/>
      <c r="T164"/>
      <c r="U164"/>
      <c r="V164"/>
      <c r="W164">
        <v>18</v>
      </c>
    </row>
    <row r="165" spans="1:23">
      <c r="A165"/>
      <c r="B165" t="s">
        <v>43</v>
      </c>
      <c r="C165" t="s">
        <v>43</v>
      </c>
      <c r="D165" t="s">
        <v>33</v>
      </c>
      <c r="E165" t="s">
        <v>34</v>
      </c>
      <c r="F165" t="str">
        <f>"0000495"</f>
        <v>0000495</v>
      </c>
      <c r="G165">
        <v>1</v>
      </c>
      <c r="H165" t="str">
        <f>"00000000"</f>
        <v>00000000</v>
      </c>
      <c r="I165" t="s">
        <v>35</v>
      </c>
      <c r="J165"/>
      <c r="K165">
        <v>1.78</v>
      </c>
      <c r="L165">
        <v>0.0</v>
      </c>
      <c r="M165"/>
      <c r="N165"/>
      <c r="O165">
        <v>0.32</v>
      </c>
      <c r="P165">
        <v>0.0</v>
      </c>
      <c r="Q165">
        <v>2.1</v>
      </c>
      <c r="R165"/>
      <c r="S165"/>
      <c r="T165"/>
      <c r="U165"/>
      <c r="V165"/>
      <c r="W165">
        <v>18</v>
      </c>
    </row>
    <row r="166" spans="1:23">
      <c r="A166"/>
      <c r="B166" t="s">
        <v>43</v>
      </c>
      <c r="C166" t="s">
        <v>43</v>
      </c>
      <c r="D166" t="s">
        <v>33</v>
      </c>
      <c r="E166" t="s">
        <v>34</v>
      </c>
      <c r="F166" t="str">
        <f>"0000496"</f>
        <v>0000496</v>
      </c>
      <c r="G166">
        <v>1</v>
      </c>
      <c r="H166" t="str">
        <f>"00000000"</f>
        <v>00000000</v>
      </c>
      <c r="I166" t="s">
        <v>35</v>
      </c>
      <c r="J166"/>
      <c r="K166">
        <v>29.96</v>
      </c>
      <c r="L166">
        <v>0.0</v>
      </c>
      <c r="M166"/>
      <c r="N166"/>
      <c r="O166">
        <v>5.39</v>
      </c>
      <c r="P166">
        <v>0.2</v>
      </c>
      <c r="Q166">
        <v>35.55</v>
      </c>
      <c r="R166"/>
      <c r="S166"/>
      <c r="T166"/>
      <c r="U166"/>
      <c r="V166"/>
      <c r="W166">
        <v>18</v>
      </c>
    </row>
    <row r="167" spans="1:23">
      <c r="A167"/>
      <c r="B167" t="s">
        <v>43</v>
      </c>
      <c r="C167" t="s">
        <v>43</v>
      </c>
      <c r="D167" t="s">
        <v>33</v>
      </c>
      <c r="E167" t="s">
        <v>34</v>
      </c>
      <c r="F167" t="str">
        <f>"0000497"</f>
        <v>0000497</v>
      </c>
      <c r="G167">
        <v>1</v>
      </c>
      <c r="H167" t="str">
        <f>"00000000"</f>
        <v>00000000</v>
      </c>
      <c r="I167" t="s">
        <v>35</v>
      </c>
      <c r="J167"/>
      <c r="K167">
        <v>20.32</v>
      </c>
      <c r="L167">
        <v>0.0</v>
      </c>
      <c r="M167"/>
      <c r="N167"/>
      <c r="O167">
        <v>3.66</v>
      </c>
      <c r="P167">
        <v>0.2</v>
      </c>
      <c r="Q167">
        <v>24.18</v>
      </c>
      <c r="R167"/>
      <c r="S167"/>
      <c r="T167"/>
      <c r="U167"/>
      <c r="V167"/>
      <c r="W167">
        <v>18</v>
      </c>
    </row>
    <row r="168" spans="1:23">
      <c r="A168"/>
      <c r="B168" t="s">
        <v>43</v>
      </c>
      <c r="C168" t="s">
        <v>43</v>
      </c>
      <c r="D168" t="s">
        <v>33</v>
      </c>
      <c r="E168" t="s">
        <v>34</v>
      </c>
      <c r="F168" t="str">
        <f>"0000498"</f>
        <v>0000498</v>
      </c>
      <c r="G168">
        <v>1</v>
      </c>
      <c r="H168" t="str">
        <f>"00000000"</f>
        <v>00000000</v>
      </c>
      <c r="I168" t="s">
        <v>35</v>
      </c>
      <c r="J168"/>
      <c r="K168">
        <v>31.12</v>
      </c>
      <c r="L168">
        <v>0.0</v>
      </c>
      <c r="M168"/>
      <c r="N168"/>
      <c r="O168">
        <v>5.6</v>
      </c>
      <c r="P168">
        <v>0.0</v>
      </c>
      <c r="Q168">
        <v>36.72</v>
      </c>
      <c r="R168"/>
      <c r="S168"/>
      <c r="T168"/>
      <c r="U168"/>
      <c r="V168"/>
      <c r="W168">
        <v>18</v>
      </c>
    </row>
    <row r="169" spans="1:23">
      <c r="A169"/>
      <c r="B169" t="s">
        <v>43</v>
      </c>
      <c r="C169" t="s">
        <v>43</v>
      </c>
      <c r="D169" t="s">
        <v>33</v>
      </c>
      <c r="E169" t="s">
        <v>34</v>
      </c>
      <c r="F169" t="str">
        <f>"0000499"</f>
        <v>0000499</v>
      </c>
      <c r="G169">
        <v>1</v>
      </c>
      <c r="H169" t="str">
        <f>"00000000"</f>
        <v>00000000</v>
      </c>
      <c r="I169" t="s">
        <v>35</v>
      </c>
      <c r="J169"/>
      <c r="K169">
        <v>4.69</v>
      </c>
      <c r="L169">
        <v>0.0</v>
      </c>
      <c r="M169"/>
      <c r="N169"/>
      <c r="O169">
        <v>0.84</v>
      </c>
      <c r="P169">
        <v>0.2</v>
      </c>
      <c r="Q169">
        <v>5.73</v>
      </c>
      <c r="R169"/>
      <c r="S169"/>
      <c r="T169"/>
      <c r="U169"/>
      <c r="V169"/>
      <c r="W169">
        <v>18</v>
      </c>
    </row>
    <row r="170" spans="1:23">
      <c r="A170"/>
      <c r="B170" t="s">
        <v>43</v>
      </c>
      <c r="C170" t="s">
        <v>43</v>
      </c>
      <c r="D170" t="s">
        <v>33</v>
      </c>
      <c r="E170" t="s">
        <v>34</v>
      </c>
      <c r="F170" t="str">
        <f>"0000500"</f>
        <v>0000500</v>
      </c>
      <c r="G170">
        <v>1</v>
      </c>
      <c r="H170" t="str">
        <f>"00000000"</f>
        <v>00000000</v>
      </c>
      <c r="I170" t="s">
        <v>35</v>
      </c>
      <c r="J170"/>
      <c r="K170">
        <v>7.71</v>
      </c>
      <c r="L170">
        <v>0.0</v>
      </c>
      <c r="M170"/>
      <c r="N170"/>
      <c r="O170">
        <v>1.39</v>
      </c>
      <c r="P170">
        <v>0.0</v>
      </c>
      <c r="Q170">
        <v>9.1</v>
      </c>
      <c r="R170"/>
      <c r="S170"/>
      <c r="T170"/>
      <c r="U170"/>
      <c r="V170"/>
      <c r="W170">
        <v>18</v>
      </c>
    </row>
    <row r="171" spans="1:23">
      <c r="A171"/>
      <c r="B171" t="s">
        <v>43</v>
      </c>
      <c r="C171" t="s">
        <v>43</v>
      </c>
      <c r="D171" t="s">
        <v>33</v>
      </c>
      <c r="E171" t="s">
        <v>34</v>
      </c>
      <c r="F171" t="str">
        <f>"0000501"</f>
        <v>0000501</v>
      </c>
      <c r="G171">
        <v>1</v>
      </c>
      <c r="H171" t="str">
        <f>"00000000"</f>
        <v>00000000</v>
      </c>
      <c r="I171" t="s">
        <v>35</v>
      </c>
      <c r="J171"/>
      <c r="K171">
        <v>3.73</v>
      </c>
      <c r="L171">
        <v>0.0</v>
      </c>
      <c r="M171"/>
      <c r="N171"/>
      <c r="O171">
        <v>0.67</v>
      </c>
      <c r="P171">
        <v>0.0</v>
      </c>
      <c r="Q171">
        <v>4.4</v>
      </c>
      <c r="R171"/>
      <c r="S171"/>
      <c r="T171"/>
      <c r="U171"/>
      <c r="V171"/>
      <c r="W171">
        <v>18</v>
      </c>
    </row>
    <row r="172" spans="1:23">
      <c r="A172"/>
      <c r="B172" t="s">
        <v>43</v>
      </c>
      <c r="C172" t="s">
        <v>43</v>
      </c>
      <c r="D172" t="s">
        <v>33</v>
      </c>
      <c r="E172" t="s">
        <v>34</v>
      </c>
      <c r="F172" t="str">
        <f>"0000502"</f>
        <v>0000502</v>
      </c>
      <c r="G172">
        <v>1</v>
      </c>
      <c r="H172" t="str">
        <f>"00000000"</f>
        <v>00000000</v>
      </c>
      <c r="I172" t="s">
        <v>35</v>
      </c>
      <c r="J172"/>
      <c r="K172">
        <v>7.8</v>
      </c>
      <c r="L172">
        <v>0.0</v>
      </c>
      <c r="M172"/>
      <c r="N172"/>
      <c r="O172">
        <v>1.4</v>
      </c>
      <c r="P172">
        <v>0.0</v>
      </c>
      <c r="Q172">
        <v>9.2</v>
      </c>
      <c r="R172"/>
      <c r="S172"/>
      <c r="T172"/>
      <c r="U172"/>
      <c r="V172"/>
      <c r="W172">
        <v>18</v>
      </c>
    </row>
    <row r="173" spans="1:23">
      <c r="A173"/>
      <c r="B173" t="s">
        <v>43</v>
      </c>
      <c r="C173" t="s">
        <v>43</v>
      </c>
      <c r="D173" t="s">
        <v>33</v>
      </c>
      <c r="E173" t="s">
        <v>34</v>
      </c>
      <c r="F173" t="str">
        <f>"0000503"</f>
        <v>0000503</v>
      </c>
      <c r="G173">
        <v>1</v>
      </c>
      <c r="H173" t="str">
        <f>"00000000"</f>
        <v>00000000</v>
      </c>
      <c r="I173" t="s">
        <v>35</v>
      </c>
      <c r="J173"/>
      <c r="K173">
        <v>6.54</v>
      </c>
      <c r="L173">
        <v>0.0</v>
      </c>
      <c r="M173"/>
      <c r="N173"/>
      <c r="O173">
        <v>1.18</v>
      </c>
      <c r="P173">
        <v>0.2</v>
      </c>
      <c r="Q173">
        <v>7.92</v>
      </c>
      <c r="R173"/>
      <c r="S173"/>
      <c r="T173"/>
      <c r="U173"/>
      <c r="V173"/>
      <c r="W173">
        <v>18</v>
      </c>
    </row>
    <row r="174" spans="1:23">
      <c r="A174"/>
      <c r="B174" t="s">
        <v>43</v>
      </c>
      <c r="C174" t="s">
        <v>43</v>
      </c>
      <c r="D174" t="s">
        <v>33</v>
      </c>
      <c r="E174" t="s">
        <v>34</v>
      </c>
      <c r="F174" t="str">
        <f>"0000504"</f>
        <v>0000504</v>
      </c>
      <c r="G174">
        <v>1</v>
      </c>
      <c r="H174" t="str">
        <f>"00000000"</f>
        <v>00000000</v>
      </c>
      <c r="I174" t="s">
        <v>35</v>
      </c>
      <c r="J174"/>
      <c r="K174">
        <v>7.63</v>
      </c>
      <c r="L174">
        <v>0.0</v>
      </c>
      <c r="M174"/>
      <c r="N174"/>
      <c r="O174">
        <v>1.37</v>
      </c>
      <c r="P174">
        <v>0.0</v>
      </c>
      <c r="Q174">
        <v>9.0</v>
      </c>
      <c r="R174"/>
      <c r="S174"/>
      <c r="T174"/>
      <c r="U174"/>
      <c r="V174"/>
      <c r="W174">
        <v>18</v>
      </c>
    </row>
    <row r="175" spans="1:23">
      <c r="A175"/>
      <c r="B175" t="s">
        <v>43</v>
      </c>
      <c r="C175" t="s">
        <v>43</v>
      </c>
      <c r="D175" t="s">
        <v>33</v>
      </c>
      <c r="E175" t="s">
        <v>34</v>
      </c>
      <c r="F175" t="str">
        <f>"0000505"</f>
        <v>0000505</v>
      </c>
      <c r="G175">
        <v>1</v>
      </c>
      <c r="H175" t="str">
        <f>"00000000"</f>
        <v>00000000</v>
      </c>
      <c r="I175" t="s">
        <v>35</v>
      </c>
      <c r="J175"/>
      <c r="K175">
        <v>17.97</v>
      </c>
      <c r="L175">
        <v>0.0</v>
      </c>
      <c r="M175"/>
      <c r="N175"/>
      <c r="O175">
        <v>3.24</v>
      </c>
      <c r="P175">
        <v>0.2</v>
      </c>
      <c r="Q175">
        <v>21.41</v>
      </c>
      <c r="R175"/>
      <c r="S175"/>
      <c r="T175"/>
      <c r="U175"/>
      <c r="V175"/>
      <c r="W175">
        <v>18</v>
      </c>
    </row>
    <row r="176" spans="1:23">
      <c r="A176"/>
      <c r="B176" t="s">
        <v>43</v>
      </c>
      <c r="C176" t="s">
        <v>43</v>
      </c>
      <c r="D176" t="s">
        <v>33</v>
      </c>
      <c r="E176" t="s">
        <v>34</v>
      </c>
      <c r="F176" t="str">
        <f>"0000506"</f>
        <v>0000506</v>
      </c>
      <c r="G176">
        <v>1</v>
      </c>
      <c r="H176" t="str">
        <f>"00000000"</f>
        <v>00000000</v>
      </c>
      <c r="I176" t="s">
        <v>35</v>
      </c>
      <c r="J176"/>
      <c r="K176">
        <v>6.36</v>
      </c>
      <c r="L176">
        <v>0.0</v>
      </c>
      <c r="M176"/>
      <c r="N176"/>
      <c r="O176">
        <v>1.14</v>
      </c>
      <c r="P176">
        <v>0.0</v>
      </c>
      <c r="Q176">
        <v>7.5</v>
      </c>
      <c r="R176"/>
      <c r="S176"/>
      <c r="T176"/>
      <c r="U176"/>
      <c r="V176"/>
      <c r="W176">
        <v>18</v>
      </c>
    </row>
    <row r="177" spans="1:23">
      <c r="A177"/>
      <c r="B177" t="s">
        <v>43</v>
      </c>
      <c r="C177" t="s">
        <v>43</v>
      </c>
      <c r="D177" t="s">
        <v>33</v>
      </c>
      <c r="E177" t="s">
        <v>34</v>
      </c>
      <c r="F177" t="str">
        <f>"0000507"</f>
        <v>0000507</v>
      </c>
      <c r="G177">
        <v>1</v>
      </c>
      <c r="H177" t="str">
        <f>"00000000"</f>
        <v>00000000</v>
      </c>
      <c r="I177" t="s">
        <v>35</v>
      </c>
      <c r="J177"/>
      <c r="K177">
        <v>1.53</v>
      </c>
      <c r="L177">
        <v>0.0</v>
      </c>
      <c r="M177"/>
      <c r="N177"/>
      <c r="O177">
        <v>0.27</v>
      </c>
      <c r="P177">
        <v>0.0</v>
      </c>
      <c r="Q177">
        <v>1.8</v>
      </c>
      <c r="R177"/>
      <c r="S177"/>
      <c r="T177"/>
      <c r="U177"/>
      <c r="V177"/>
      <c r="W177">
        <v>18</v>
      </c>
    </row>
    <row r="178" spans="1:23">
      <c r="A178"/>
      <c r="B178" t="s">
        <v>43</v>
      </c>
      <c r="C178" t="s">
        <v>43</v>
      </c>
      <c r="D178" t="s">
        <v>33</v>
      </c>
      <c r="E178" t="s">
        <v>34</v>
      </c>
      <c r="F178" t="str">
        <f>"0000508"</f>
        <v>0000508</v>
      </c>
      <c r="G178">
        <v>1</v>
      </c>
      <c r="H178" t="str">
        <f>"00000000"</f>
        <v>00000000</v>
      </c>
      <c r="I178" t="s">
        <v>35</v>
      </c>
      <c r="J178"/>
      <c r="K178">
        <v>14.29</v>
      </c>
      <c r="L178">
        <v>0.0</v>
      </c>
      <c r="M178"/>
      <c r="N178"/>
      <c r="O178">
        <v>2.57</v>
      </c>
      <c r="P178">
        <v>0.0</v>
      </c>
      <c r="Q178">
        <v>16.86</v>
      </c>
      <c r="R178"/>
      <c r="S178"/>
      <c r="T178"/>
      <c r="U178"/>
      <c r="V178"/>
      <c r="W178">
        <v>18</v>
      </c>
    </row>
    <row r="179" spans="1:23">
      <c r="A179"/>
      <c r="B179" t="s">
        <v>43</v>
      </c>
      <c r="C179" t="s">
        <v>43</v>
      </c>
      <c r="D179" t="s">
        <v>33</v>
      </c>
      <c r="E179" t="s">
        <v>34</v>
      </c>
      <c r="F179" t="str">
        <f>"0000509"</f>
        <v>0000509</v>
      </c>
      <c r="G179">
        <v>1</v>
      </c>
      <c r="H179" t="str">
        <f>"00000000"</f>
        <v>00000000</v>
      </c>
      <c r="I179" t="s">
        <v>35</v>
      </c>
      <c r="J179"/>
      <c r="K179">
        <v>7.1</v>
      </c>
      <c r="L179">
        <v>0.0</v>
      </c>
      <c r="M179"/>
      <c r="N179"/>
      <c r="O179">
        <v>1.28</v>
      </c>
      <c r="P179">
        <v>0.0</v>
      </c>
      <c r="Q179">
        <v>8.38</v>
      </c>
      <c r="R179"/>
      <c r="S179"/>
      <c r="T179"/>
      <c r="U179"/>
      <c r="V179"/>
      <c r="W179">
        <v>18</v>
      </c>
    </row>
    <row r="180" spans="1:23">
      <c r="A180"/>
      <c r="B180" t="s">
        <v>43</v>
      </c>
      <c r="C180" t="s">
        <v>43</v>
      </c>
      <c r="D180" t="s">
        <v>33</v>
      </c>
      <c r="E180" t="s">
        <v>34</v>
      </c>
      <c r="F180" t="str">
        <f>"0000510"</f>
        <v>0000510</v>
      </c>
      <c r="G180">
        <v>1</v>
      </c>
      <c r="H180" t="str">
        <f>"00000000"</f>
        <v>00000000</v>
      </c>
      <c r="I180" t="s">
        <v>35</v>
      </c>
      <c r="J180"/>
      <c r="K180">
        <v>0.77</v>
      </c>
      <c r="L180">
        <v>0.0</v>
      </c>
      <c r="M180"/>
      <c r="N180"/>
      <c r="O180">
        <v>0.14</v>
      </c>
      <c r="P180">
        <v>0.0</v>
      </c>
      <c r="Q180">
        <v>0.91</v>
      </c>
      <c r="R180"/>
      <c r="S180"/>
      <c r="T180"/>
      <c r="U180"/>
      <c r="V180"/>
      <c r="W180">
        <v>18</v>
      </c>
    </row>
    <row r="181" spans="1:23">
      <c r="A181"/>
      <c r="B181" t="s">
        <v>43</v>
      </c>
      <c r="C181" t="s">
        <v>43</v>
      </c>
      <c r="D181" t="s">
        <v>33</v>
      </c>
      <c r="E181" t="s">
        <v>34</v>
      </c>
      <c r="F181" t="str">
        <f>"0000511"</f>
        <v>0000511</v>
      </c>
      <c r="G181">
        <v>1</v>
      </c>
      <c r="H181" t="str">
        <f>"00000000"</f>
        <v>00000000</v>
      </c>
      <c r="I181" t="s">
        <v>35</v>
      </c>
      <c r="J181"/>
      <c r="K181">
        <v>7.63</v>
      </c>
      <c r="L181">
        <v>0.0</v>
      </c>
      <c r="M181"/>
      <c r="N181"/>
      <c r="O181">
        <v>1.37</v>
      </c>
      <c r="P181">
        <v>0.0</v>
      </c>
      <c r="Q181">
        <v>9.0</v>
      </c>
      <c r="R181"/>
      <c r="S181"/>
      <c r="T181"/>
      <c r="U181"/>
      <c r="V181"/>
      <c r="W181">
        <v>18</v>
      </c>
    </row>
    <row r="182" spans="1:23">
      <c r="A182"/>
      <c r="B182" t="s">
        <v>43</v>
      </c>
      <c r="C182" t="s">
        <v>43</v>
      </c>
      <c r="D182" t="s">
        <v>33</v>
      </c>
      <c r="E182" t="s">
        <v>34</v>
      </c>
      <c r="F182" t="str">
        <f>"0000512"</f>
        <v>0000512</v>
      </c>
      <c r="G182">
        <v>1</v>
      </c>
      <c r="H182" t="str">
        <f>"00000000"</f>
        <v>00000000</v>
      </c>
      <c r="I182" t="s">
        <v>35</v>
      </c>
      <c r="J182"/>
      <c r="K182">
        <v>0.49</v>
      </c>
      <c r="L182">
        <v>0.0</v>
      </c>
      <c r="M182"/>
      <c r="N182"/>
      <c r="O182">
        <v>0.09</v>
      </c>
      <c r="P182">
        <v>0.0</v>
      </c>
      <c r="Q182">
        <v>0.58</v>
      </c>
      <c r="R182"/>
      <c r="S182"/>
      <c r="T182"/>
      <c r="U182"/>
      <c r="V182"/>
      <c r="W182">
        <v>18</v>
      </c>
    </row>
    <row r="183" spans="1:23">
      <c r="A183"/>
      <c r="B183" t="s">
        <v>43</v>
      </c>
      <c r="C183" t="s">
        <v>43</v>
      </c>
      <c r="D183" t="s">
        <v>33</v>
      </c>
      <c r="E183" t="s">
        <v>34</v>
      </c>
      <c r="F183" t="str">
        <f>"0000513"</f>
        <v>0000513</v>
      </c>
      <c r="G183">
        <v>1</v>
      </c>
      <c r="H183" t="str">
        <f>"00000000"</f>
        <v>00000000</v>
      </c>
      <c r="I183" t="s">
        <v>35</v>
      </c>
      <c r="J183"/>
      <c r="K183">
        <v>18.96</v>
      </c>
      <c r="L183">
        <v>0.0</v>
      </c>
      <c r="M183"/>
      <c r="N183"/>
      <c r="O183">
        <v>3.41</v>
      </c>
      <c r="P183">
        <v>0.2</v>
      </c>
      <c r="Q183">
        <v>22.58</v>
      </c>
      <c r="R183"/>
      <c r="S183"/>
      <c r="T183"/>
      <c r="U183"/>
      <c r="V183"/>
      <c r="W183">
        <v>18</v>
      </c>
    </row>
    <row r="184" spans="1:23">
      <c r="A184"/>
      <c r="B184" t="s">
        <v>43</v>
      </c>
      <c r="C184" t="s">
        <v>43</v>
      </c>
      <c r="D184" t="s">
        <v>33</v>
      </c>
      <c r="E184" t="s">
        <v>34</v>
      </c>
      <c r="F184" t="str">
        <f>"0000514"</f>
        <v>0000514</v>
      </c>
      <c r="G184">
        <v>1</v>
      </c>
      <c r="H184" t="str">
        <f>"00000000"</f>
        <v>00000000</v>
      </c>
      <c r="I184" t="s">
        <v>35</v>
      </c>
      <c r="J184"/>
      <c r="K184">
        <v>14.4</v>
      </c>
      <c r="L184">
        <v>0.0</v>
      </c>
      <c r="M184"/>
      <c r="N184"/>
      <c r="O184">
        <v>2.59</v>
      </c>
      <c r="P184">
        <v>0.2</v>
      </c>
      <c r="Q184">
        <v>17.19</v>
      </c>
      <c r="R184"/>
      <c r="S184"/>
      <c r="T184"/>
      <c r="U184"/>
      <c r="V184"/>
      <c r="W184">
        <v>18</v>
      </c>
    </row>
    <row r="185" spans="1:23">
      <c r="A185"/>
      <c r="B185" t="s">
        <v>43</v>
      </c>
      <c r="C185" t="s">
        <v>43</v>
      </c>
      <c r="D185" t="s">
        <v>33</v>
      </c>
      <c r="E185" t="s">
        <v>34</v>
      </c>
      <c r="F185" t="str">
        <f>"0000515"</f>
        <v>0000515</v>
      </c>
      <c r="G185">
        <v>1</v>
      </c>
      <c r="H185" t="str">
        <f>"00000000"</f>
        <v>00000000</v>
      </c>
      <c r="I185" t="s">
        <v>35</v>
      </c>
      <c r="J185"/>
      <c r="K185">
        <v>13.56</v>
      </c>
      <c r="L185">
        <v>0.0</v>
      </c>
      <c r="M185"/>
      <c r="N185"/>
      <c r="O185">
        <v>2.44</v>
      </c>
      <c r="P185">
        <v>0.0</v>
      </c>
      <c r="Q185">
        <v>16.0</v>
      </c>
      <c r="R185"/>
      <c r="S185"/>
      <c r="T185"/>
      <c r="U185"/>
      <c r="V185"/>
      <c r="W185">
        <v>18</v>
      </c>
    </row>
    <row r="186" spans="1:23">
      <c r="A186"/>
      <c r="B186" t="s">
        <v>43</v>
      </c>
      <c r="C186" t="s">
        <v>43</v>
      </c>
      <c r="D186" t="s">
        <v>33</v>
      </c>
      <c r="E186" t="s">
        <v>34</v>
      </c>
      <c r="F186" t="str">
        <f>"0000516"</f>
        <v>0000516</v>
      </c>
      <c r="G186">
        <v>1</v>
      </c>
      <c r="H186" t="str">
        <f>"00000000"</f>
        <v>00000000</v>
      </c>
      <c r="I186" t="s">
        <v>35</v>
      </c>
      <c r="J186"/>
      <c r="K186">
        <v>6.27</v>
      </c>
      <c r="L186">
        <v>0.0</v>
      </c>
      <c r="M186"/>
      <c r="N186"/>
      <c r="O186">
        <v>1.13</v>
      </c>
      <c r="P186">
        <v>0.2</v>
      </c>
      <c r="Q186">
        <v>7.6</v>
      </c>
      <c r="R186"/>
      <c r="S186"/>
      <c r="T186"/>
      <c r="U186"/>
      <c r="V186"/>
      <c r="W186">
        <v>18</v>
      </c>
    </row>
    <row r="187" spans="1:23">
      <c r="A187"/>
      <c r="B187" t="s">
        <v>43</v>
      </c>
      <c r="C187" t="s">
        <v>43</v>
      </c>
      <c r="D187" t="s">
        <v>33</v>
      </c>
      <c r="E187" t="s">
        <v>34</v>
      </c>
      <c r="F187" t="str">
        <f>"0000517"</f>
        <v>0000517</v>
      </c>
      <c r="G187">
        <v>1</v>
      </c>
      <c r="H187" t="str">
        <f>"00000000"</f>
        <v>00000000</v>
      </c>
      <c r="I187" t="s">
        <v>35</v>
      </c>
      <c r="J187"/>
      <c r="K187">
        <v>4.75</v>
      </c>
      <c r="L187">
        <v>0.0</v>
      </c>
      <c r="M187"/>
      <c r="N187"/>
      <c r="O187">
        <v>0.85</v>
      </c>
      <c r="P187">
        <v>0.0</v>
      </c>
      <c r="Q187">
        <v>5.6</v>
      </c>
      <c r="R187"/>
      <c r="S187"/>
      <c r="T187"/>
      <c r="U187"/>
      <c r="V187"/>
      <c r="W187">
        <v>18</v>
      </c>
    </row>
    <row r="188" spans="1:23">
      <c r="A188"/>
      <c r="B188" t="s">
        <v>43</v>
      </c>
      <c r="C188" t="s">
        <v>43</v>
      </c>
      <c r="D188" t="s">
        <v>33</v>
      </c>
      <c r="E188" t="s">
        <v>34</v>
      </c>
      <c r="F188" t="str">
        <f>"0000518"</f>
        <v>0000518</v>
      </c>
      <c r="G188">
        <v>1</v>
      </c>
      <c r="H188" t="str">
        <f>"00000000"</f>
        <v>00000000</v>
      </c>
      <c r="I188" t="s">
        <v>35</v>
      </c>
      <c r="J188"/>
      <c r="K188">
        <v>7.46</v>
      </c>
      <c r="L188">
        <v>0.0</v>
      </c>
      <c r="M188"/>
      <c r="N188"/>
      <c r="O188">
        <v>1.34</v>
      </c>
      <c r="P188">
        <v>0.0</v>
      </c>
      <c r="Q188">
        <v>8.8</v>
      </c>
      <c r="R188"/>
      <c r="S188"/>
      <c r="T188"/>
      <c r="U188"/>
      <c r="V188"/>
      <c r="W188">
        <v>18</v>
      </c>
    </row>
    <row r="189" spans="1:23">
      <c r="A189"/>
      <c r="B189" t="s">
        <v>43</v>
      </c>
      <c r="C189" t="s">
        <v>43</v>
      </c>
      <c r="D189" t="s">
        <v>33</v>
      </c>
      <c r="E189" t="s">
        <v>34</v>
      </c>
      <c r="F189" t="str">
        <f>"0000519"</f>
        <v>0000519</v>
      </c>
      <c r="G189">
        <v>1</v>
      </c>
      <c r="H189" t="str">
        <f>"00000000"</f>
        <v>00000000</v>
      </c>
      <c r="I189" t="s">
        <v>35</v>
      </c>
      <c r="J189"/>
      <c r="K189">
        <v>11.53</v>
      </c>
      <c r="L189">
        <v>0.0</v>
      </c>
      <c r="M189"/>
      <c r="N189"/>
      <c r="O189">
        <v>2.07</v>
      </c>
      <c r="P189">
        <v>0.2</v>
      </c>
      <c r="Q189">
        <v>13.8</v>
      </c>
      <c r="R189"/>
      <c r="S189"/>
      <c r="T189"/>
      <c r="U189"/>
      <c r="V189"/>
      <c r="W189">
        <v>18</v>
      </c>
    </row>
    <row r="190" spans="1:23">
      <c r="A190"/>
      <c r="B190" t="s">
        <v>43</v>
      </c>
      <c r="C190" t="s">
        <v>43</v>
      </c>
      <c r="D190" t="s">
        <v>33</v>
      </c>
      <c r="E190" t="s">
        <v>34</v>
      </c>
      <c r="F190" t="str">
        <f>"0000520"</f>
        <v>0000520</v>
      </c>
      <c r="G190">
        <v>1</v>
      </c>
      <c r="H190" t="str">
        <f>"00000000"</f>
        <v>00000000</v>
      </c>
      <c r="I190" t="s">
        <v>35</v>
      </c>
      <c r="J190"/>
      <c r="K190">
        <v>2.95</v>
      </c>
      <c r="L190">
        <v>0.0</v>
      </c>
      <c r="M190"/>
      <c r="N190"/>
      <c r="O190">
        <v>0.53</v>
      </c>
      <c r="P190">
        <v>0.0</v>
      </c>
      <c r="Q190">
        <v>3.48</v>
      </c>
      <c r="R190"/>
      <c r="S190"/>
      <c r="T190"/>
      <c r="U190"/>
      <c r="V190"/>
      <c r="W190">
        <v>18</v>
      </c>
    </row>
    <row r="191" spans="1:23">
      <c r="A191"/>
      <c r="B191" t="s">
        <v>43</v>
      </c>
      <c r="C191" t="s">
        <v>43</v>
      </c>
      <c r="D191" t="s">
        <v>33</v>
      </c>
      <c r="E191" t="s">
        <v>34</v>
      </c>
      <c r="F191" t="str">
        <f>"0000521"</f>
        <v>0000521</v>
      </c>
      <c r="G191">
        <v>1</v>
      </c>
      <c r="H191" t="str">
        <f>"00000000"</f>
        <v>00000000</v>
      </c>
      <c r="I191" t="s">
        <v>35</v>
      </c>
      <c r="J191"/>
      <c r="K191">
        <v>8.39</v>
      </c>
      <c r="L191">
        <v>0.0</v>
      </c>
      <c r="M191"/>
      <c r="N191"/>
      <c r="O191">
        <v>1.51</v>
      </c>
      <c r="P191">
        <v>0.0</v>
      </c>
      <c r="Q191">
        <v>9.9</v>
      </c>
      <c r="R191"/>
      <c r="S191"/>
      <c r="T191"/>
      <c r="U191"/>
      <c r="V191"/>
      <c r="W191">
        <v>18</v>
      </c>
    </row>
    <row r="192" spans="1:23">
      <c r="A192"/>
      <c r="B192" t="s">
        <v>43</v>
      </c>
      <c r="C192" t="s">
        <v>43</v>
      </c>
      <c r="D192" t="s">
        <v>33</v>
      </c>
      <c r="E192" t="s">
        <v>34</v>
      </c>
      <c r="F192" t="str">
        <f>"0000522"</f>
        <v>0000522</v>
      </c>
      <c r="G192">
        <v>1</v>
      </c>
      <c r="H192" t="str">
        <f>"00000000"</f>
        <v>00000000</v>
      </c>
      <c r="I192" t="s">
        <v>35</v>
      </c>
      <c r="J192"/>
      <c r="K192">
        <v>1.95</v>
      </c>
      <c r="L192">
        <v>0.0</v>
      </c>
      <c r="M192"/>
      <c r="N192"/>
      <c r="O192">
        <v>0.35</v>
      </c>
      <c r="P192">
        <v>0.0</v>
      </c>
      <c r="Q192">
        <v>2.3</v>
      </c>
      <c r="R192"/>
      <c r="S192"/>
      <c r="T192"/>
      <c r="U192"/>
      <c r="V192"/>
      <c r="W192">
        <v>18</v>
      </c>
    </row>
    <row r="193" spans="1:23">
      <c r="A193"/>
      <c r="B193" t="s">
        <v>43</v>
      </c>
      <c r="C193" t="s">
        <v>43</v>
      </c>
      <c r="D193" t="s">
        <v>33</v>
      </c>
      <c r="E193" t="s">
        <v>34</v>
      </c>
      <c r="F193" t="str">
        <f>"0000523"</f>
        <v>0000523</v>
      </c>
      <c r="G193">
        <v>1</v>
      </c>
      <c r="H193" t="str">
        <f>"00000000"</f>
        <v>00000000</v>
      </c>
      <c r="I193" t="s">
        <v>35</v>
      </c>
      <c r="J193"/>
      <c r="K193">
        <v>10.08</v>
      </c>
      <c r="L193">
        <v>0.0</v>
      </c>
      <c r="M193"/>
      <c r="N193"/>
      <c r="O193">
        <v>1.82</v>
      </c>
      <c r="P193">
        <v>0.0</v>
      </c>
      <c r="Q193">
        <v>11.9</v>
      </c>
      <c r="R193"/>
      <c r="S193"/>
      <c r="T193"/>
      <c r="U193"/>
      <c r="V193"/>
      <c r="W193">
        <v>18</v>
      </c>
    </row>
    <row r="194" spans="1:23">
      <c r="A194"/>
      <c r="B194" t="s">
        <v>43</v>
      </c>
      <c r="C194" t="s">
        <v>43</v>
      </c>
      <c r="D194" t="s">
        <v>33</v>
      </c>
      <c r="E194" t="s">
        <v>34</v>
      </c>
      <c r="F194" t="str">
        <f>"0000524"</f>
        <v>0000524</v>
      </c>
      <c r="G194">
        <v>1</v>
      </c>
      <c r="H194" t="str">
        <f>"00000000"</f>
        <v>00000000</v>
      </c>
      <c r="I194" t="s">
        <v>35</v>
      </c>
      <c r="J194"/>
      <c r="K194">
        <v>6.57</v>
      </c>
      <c r="L194">
        <v>0.0</v>
      </c>
      <c r="M194"/>
      <c r="N194"/>
      <c r="O194">
        <v>1.18</v>
      </c>
      <c r="P194">
        <v>0.2</v>
      </c>
      <c r="Q194">
        <v>7.95</v>
      </c>
      <c r="R194"/>
      <c r="S194"/>
      <c r="T194"/>
      <c r="U194"/>
      <c r="V194"/>
      <c r="W194">
        <v>18</v>
      </c>
    </row>
    <row r="195" spans="1:23">
      <c r="A195"/>
      <c r="B195" t="s">
        <v>43</v>
      </c>
      <c r="C195" t="s">
        <v>43</v>
      </c>
      <c r="D195" t="s">
        <v>33</v>
      </c>
      <c r="E195" t="s">
        <v>34</v>
      </c>
      <c r="F195" t="str">
        <f>"0000525"</f>
        <v>0000525</v>
      </c>
      <c r="G195">
        <v>1</v>
      </c>
      <c r="H195" t="str">
        <f>"00000000"</f>
        <v>00000000</v>
      </c>
      <c r="I195" t="s">
        <v>35</v>
      </c>
      <c r="J195"/>
      <c r="K195">
        <v>17.12</v>
      </c>
      <c r="L195">
        <v>0.0</v>
      </c>
      <c r="M195"/>
      <c r="N195"/>
      <c r="O195">
        <v>3.08</v>
      </c>
      <c r="P195">
        <v>0.2</v>
      </c>
      <c r="Q195">
        <v>20.4</v>
      </c>
      <c r="R195"/>
      <c r="S195"/>
      <c r="T195"/>
      <c r="U195"/>
      <c r="V195"/>
      <c r="W195">
        <v>18</v>
      </c>
    </row>
    <row r="196" spans="1:23">
      <c r="A196"/>
      <c r="B196" t="s">
        <v>43</v>
      </c>
      <c r="C196" t="s">
        <v>43</v>
      </c>
      <c r="D196" t="s">
        <v>33</v>
      </c>
      <c r="E196" t="s">
        <v>34</v>
      </c>
      <c r="F196" t="str">
        <f>"0000526"</f>
        <v>0000526</v>
      </c>
      <c r="G196">
        <v>1</v>
      </c>
      <c r="H196" t="str">
        <f>"00000000"</f>
        <v>00000000</v>
      </c>
      <c r="I196" t="s">
        <v>35</v>
      </c>
      <c r="J196"/>
      <c r="K196">
        <v>6.78</v>
      </c>
      <c r="L196">
        <v>0.0</v>
      </c>
      <c r="M196"/>
      <c r="N196"/>
      <c r="O196">
        <v>1.22</v>
      </c>
      <c r="P196">
        <v>0.0</v>
      </c>
      <c r="Q196">
        <v>8.0</v>
      </c>
      <c r="R196"/>
      <c r="S196"/>
      <c r="T196"/>
      <c r="U196"/>
      <c r="V196"/>
      <c r="W196">
        <v>18</v>
      </c>
    </row>
    <row r="197" spans="1:23">
      <c r="A197"/>
      <c r="B197" t="s">
        <v>43</v>
      </c>
      <c r="C197" t="s">
        <v>43</v>
      </c>
      <c r="D197" t="s">
        <v>33</v>
      </c>
      <c r="E197" t="s">
        <v>34</v>
      </c>
      <c r="F197" t="str">
        <f>"0000527"</f>
        <v>0000527</v>
      </c>
      <c r="G197">
        <v>1</v>
      </c>
      <c r="H197" t="str">
        <f>"00000000"</f>
        <v>00000000</v>
      </c>
      <c r="I197" t="s">
        <v>35</v>
      </c>
      <c r="J197"/>
      <c r="K197">
        <v>34.66</v>
      </c>
      <c r="L197">
        <v>0.0</v>
      </c>
      <c r="M197"/>
      <c r="N197"/>
      <c r="O197">
        <v>6.24</v>
      </c>
      <c r="P197">
        <v>0.2</v>
      </c>
      <c r="Q197">
        <v>41.1</v>
      </c>
      <c r="R197"/>
      <c r="S197"/>
      <c r="T197"/>
      <c r="U197"/>
      <c r="V197"/>
      <c r="W197">
        <v>18</v>
      </c>
    </row>
    <row r="198" spans="1:23">
      <c r="A198"/>
      <c r="B198" t="s">
        <v>43</v>
      </c>
      <c r="C198" t="s">
        <v>43</v>
      </c>
      <c r="D198" t="s">
        <v>33</v>
      </c>
      <c r="E198" t="s">
        <v>34</v>
      </c>
      <c r="F198" t="str">
        <f>"0000528"</f>
        <v>0000528</v>
      </c>
      <c r="G198">
        <v>1</v>
      </c>
      <c r="H198" t="str">
        <f>"00000000"</f>
        <v>00000000</v>
      </c>
      <c r="I198" t="s">
        <v>35</v>
      </c>
      <c r="J198"/>
      <c r="K198">
        <v>3.49</v>
      </c>
      <c r="L198">
        <v>0.0</v>
      </c>
      <c r="M198"/>
      <c r="N198"/>
      <c r="O198">
        <v>0.63</v>
      </c>
      <c r="P198">
        <v>0.0</v>
      </c>
      <c r="Q198">
        <v>4.12</v>
      </c>
      <c r="R198"/>
      <c r="S198"/>
      <c r="T198"/>
      <c r="U198"/>
      <c r="V198"/>
      <c r="W198">
        <v>18</v>
      </c>
    </row>
    <row r="199" spans="1:23">
      <c r="A199"/>
      <c r="B199" t="s">
        <v>43</v>
      </c>
      <c r="C199" t="s">
        <v>43</v>
      </c>
      <c r="D199" t="s">
        <v>33</v>
      </c>
      <c r="E199" t="s">
        <v>34</v>
      </c>
      <c r="F199" t="str">
        <f>"0000529"</f>
        <v>0000529</v>
      </c>
      <c r="G199">
        <v>1</v>
      </c>
      <c r="H199" t="str">
        <f>"00000000"</f>
        <v>00000000</v>
      </c>
      <c r="I199" t="s">
        <v>35</v>
      </c>
      <c r="J199"/>
      <c r="K199">
        <v>63.64</v>
      </c>
      <c r="L199">
        <v>0.0</v>
      </c>
      <c r="M199"/>
      <c r="N199"/>
      <c r="O199">
        <v>11.46</v>
      </c>
      <c r="P199">
        <v>0.2</v>
      </c>
      <c r="Q199">
        <v>75.3</v>
      </c>
      <c r="R199"/>
      <c r="S199"/>
      <c r="T199"/>
      <c r="U199"/>
      <c r="V199"/>
      <c r="W199">
        <v>18</v>
      </c>
    </row>
    <row r="200" spans="1:23">
      <c r="A200"/>
      <c r="B200" t="s">
        <v>43</v>
      </c>
      <c r="C200" t="s">
        <v>43</v>
      </c>
      <c r="D200" t="s">
        <v>33</v>
      </c>
      <c r="E200" t="s">
        <v>34</v>
      </c>
      <c r="F200" t="str">
        <f>"0000530"</f>
        <v>0000530</v>
      </c>
      <c r="G200">
        <v>1</v>
      </c>
      <c r="H200" t="str">
        <f>"00000000"</f>
        <v>00000000</v>
      </c>
      <c r="I200" t="s">
        <v>35</v>
      </c>
      <c r="J200"/>
      <c r="K200">
        <v>3.29</v>
      </c>
      <c r="L200">
        <v>0.0</v>
      </c>
      <c r="M200"/>
      <c r="N200"/>
      <c r="O200">
        <v>0.59</v>
      </c>
      <c r="P200">
        <v>0.0</v>
      </c>
      <c r="Q200">
        <v>3.89</v>
      </c>
      <c r="R200"/>
      <c r="S200"/>
      <c r="T200"/>
      <c r="U200"/>
      <c r="V200"/>
      <c r="W200">
        <v>18</v>
      </c>
    </row>
    <row r="201" spans="1:23">
      <c r="A201"/>
      <c r="B201" t="s">
        <v>43</v>
      </c>
      <c r="C201" t="s">
        <v>43</v>
      </c>
      <c r="D201" t="s">
        <v>33</v>
      </c>
      <c r="E201" t="s">
        <v>34</v>
      </c>
      <c r="F201" t="str">
        <f>"0000531"</f>
        <v>0000531</v>
      </c>
      <c r="G201">
        <v>1</v>
      </c>
      <c r="H201" t="str">
        <f>"00000000"</f>
        <v>00000000</v>
      </c>
      <c r="I201" t="s">
        <v>35</v>
      </c>
      <c r="J201"/>
      <c r="K201">
        <v>2.54</v>
      </c>
      <c r="L201">
        <v>0.0</v>
      </c>
      <c r="M201"/>
      <c r="N201"/>
      <c r="O201">
        <v>0.46</v>
      </c>
      <c r="P201">
        <v>0.0</v>
      </c>
      <c r="Q201">
        <v>3.0</v>
      </c>
      <c r="R201"/>
      <c r="S201"/>
      <c r="T201"/>
      <c r="U201"/>
      <c r="V201"/>
      <c r="W201">
        <v>18</v>
      </c>
    </row>
    <row r="202" spans="1:23">
      <c r="A202"/>
      <c r="B202" t="s">
        <v>43</v>
      </c>
      <c r="C202" t="s">
        <v>43</v>
      </c>
      <c r="D202" t="s">
        <v>33</v>
      </c>
      <c r="E202" t="s">
        <v>34</v>
      </c>
      <c r="F202" t="str">
        <f>"0000532"</f>
        <v>0000532</v>
      </c>
      <c r="G202">
        <v>1</v>
      </c>
      <c r="H202" t="str">
        <f>"00000000"</f>
        <v>00000000</v>
      </c>
      <c r="I202" t="s">
        <v>35</v>
      </c>
      <c r="J202"/>
      <c r="K202">
        <v>51.69</v>
      </c>
      <c r="L202">
        <v>0.0</v>
      </c>
      <c r="M202"/>
      <c r="N202"/>
      <c r="O202">
        <v>9.31</v>
      </c>
      <c r="P202">
        <v>0.2</v>
      </c>
      <c r="Q202">
        <v>61.2</v>
      </c>
      <c r="R202"/>
      <c r="S202"/>
      <c r="T202"/>
      <c r="U202"/>
      <c r="V202"/>
      <c r="W202">
        <v>18</v>
      </c>
    </row>
    <row r="203" spans="1:23">
      <c r="A203"/>
      <c r="B203" t="s">
        <v>43</v>
      </c>
      <c r="C203" t="s">
        <v>43</v>
      </c>
      <c r="D203" t="s">
        <v>33</v>
      </c>
      <c r="E203" t="s">
        <v>34</v>
      </c>
      <c r="F203" t="str">
        <f>"0000533"</f>
        <v>0000533</v>
      </c>
      <c r="G203">
        <v>1</v>
      </c>
      <c r="H203" t="str">
        <f>"00000000"</f>
        <v>00000000</v>
      </c>
      <c r="I203" t="s">
        <v>35</v>
      </c>
      <c r="J203"/>
      <c r="K203">
        <v>9.79</v>
      </c>
      <c r="L203">
        <v>0.0</v>
      </c>
      <c r="M203"/>
      <c r="N203"/>
      <c r="O203">
        <v>1.76</v>
      </c>
      <c r="P203">
        <v>0.2</v>
      </c>
      <c r="Q203">
        <v>11.75</v>
      </c>
      <c r="R203"/>
      <c r="S203"/>
      <c r="T203"/>
      <c r="U203"/>
      <c r="V203"/>
      <c r="W203">
        <v>18</v>
      </c>
    </row>
    <row r="204" spans="1:23">
      <c r="A204"/>
      <c r="B204" t="s">
        <v>43</v>
      </c>
      <c r="C204" t="s">
        <v>43</v>
      </c>
      <c r="D204" t="s">
        <v>33</v>
      </c>
      <c r="E204" t="s">
        <v>34</v>
      </c>
      <c r="F204" t="str">
        <f>"0000534"</f>
        <v>0000534</v>
      </c>
      <c r="G204">
        <v>1</v>
      </c>
      <c r="H204" t="str">
        <f>"00000000"</f>
        <v>00000000</v>
      </c>
      <c r="I204" t="s">
        <v>35</v>
      </c>
      <c r="J204"/>
      <c r="K204">
        <v>1.7</v>
      </c>
      <c r="L204">
        <v>0.0</v>
      </c>
      <c r="M204"/>
      <c r="N204"/>
      <c r="O204">
        <v>0.31</v>
      </c>
      <c r="P204">
        <v>0.0</v>
      </c>
      <c r="Q204">
        <v>2.01</v>
      </c>
      <c r="R204"/>
      <c r="S204"/>
      <c r="T204"/>
      <c r="U204"/>
      <c r="V204"/>
      <c r="W204">
        <v>18</v>
      </c>
    </row>
    <row r="205" spans="1:23">
      <c r="A205"/>
      <c r="B205" t="s">
        <v>43</v>
      </c>
      <c r="C205" t="s">
        <v>43</v>
      </c>
      <c r="D205" t="s">
        <v>33</v>
      </c>
      <c r="E205" t="s">
        <v>34</v>
      </c>
      <c r="F205" t="str">
        <f>"0000535"</f>
        <v>0000535</v>
      </c>
      <c r="G205">
        <v>1</v>
      </c>
      <c r="H205" t="str">
        <f>"00000000"</f>
        <v>00000000</v>
      </c>
      <c r="I205" t="s">
        <v>35</v>
      </c>
      <c r="J205"/>
      <c r="K205">
        <v>64.75</v>
      </c>
      <c r="L205">
        <v>0.0</v>
      </c>
      <c r="M205"/>
      <c r="N205"/>
      <c r="O205">
        <v>11.65</v>
      </c>
      <c r="P205">
        <v>0.2</v>
      </c>
      <c r="Q205">
        <v>76.6</v>
      </c>
      <c r="R205"/>
      <c r="S205"/>
      <c r="T205"/>
      <c r="U205"/>
      <c r="V205"/>
      <c r="W205">
        <v>18</v>
      </c>
    </row>
    <row r="206" spans="1:23">
      <c r="A206"/>
      <c r="B206" t="s">
        <v>43</v>
      </c>
      <c r="C206" t="s">
        <v>43</v>
      </c>
      <c r="D206" t="s">
        <v>33</v>
      </c>
      <c r="E206" t="s">
        <v>34</v>
      </c>
      <c r="F206" t="str">
        <f>"0000536"</f>
        <v>0000536</v>
      </c>
      <c r="G206">
        <v>1</v>
      </c>
      <c r="H206" t="str">
        <f>"00000000"</f>
        <v>00000000</v>
      </c>
      <c r="I206" t="s">
        <v>35</v>
      </c>
      <c r="J206"/>
      <c r="K206">
        <v>53.81</v>
      </c>
      <c r="L206">
        <v>0.0</v>
      </c>
      <c r="M206"/>
      <c r="N206"/>
      <c r="O206">
        <v>9.69</v>
      </c>
      <c r="P206">
        <v>0.0</v>
      </c>
      <c r="Q206">
        <v>63.5</v>
      </c>
      <c r="R206"/>
      <c r="S206"/>
      <c r="T206"/>
      <c r="U206"/>
      <c r="V206"/>
      <c r="W206">
        <v>18</v>
      </c>
    </row>
    <row r="207" spans="1:23">
      <c r="A207"/>
      <c r="B207" t="s">
        <v>43</v>
      </c>
      <c r="C207" t="s">
        <v>43</v>
      </c>
      <c r="D207" t="s">
        <v>33</v>
      </c>
      <c r="E207" t="s">
        <v>34</v>
      </c>
      <c r="F207" t="str">
        <f>"0000537"</f>
        <v>0000537</v>
      </c>
      <c r="G207">
        <v>1</v>
      </c>
      <c r="H207" t="str">
        <f>"00000000"</f>
        <v>00000000</v>
      </c>
      <c r="I207" t="s">
        <v>35</v>
      </c>
      <c r="J207"/>
      <c r="K207">
        <v>2.19</v>
      </c>
      <c r="L207">
        <v>0.0</v>
      </c>
      <c r="M207"/>
      <c r="N207"/>
      <c r="O207">
        <v>0.39</v>
      </c>
      <c r="P207">
        <v>0.0</v>
      </c>
      <c r="Q207">
        <v>2.59</v>
      </c>
      <c r="R207"/>
      <c r="S207"/>
      <c r="T207"/>
      <c r="U207"/>
      <c r="V207"/>
      <c r="W207">
        <v>18</v>
      </c>
    </row>
    <row r="208" spans="1:23">
      <c r="A208"/>
      <c r="B208" t="s">
        <v>43</v>
      </c>
      <c r="C208" t="s">
        <v>43</v>
      </c>
      <c r="D208" t="s">
        <v>33</v>
      </c>
      <c r="E208" t="s">
        <v>34</v>
      </c>
      <c r="F208" t="str">
        <f>"0000538"</f>
        <v>0000538</v>
      </c>
      <c r="G208">
        <v>1</v>
      </c>
      <c r="H208" t="str">
        <f>"00000000"</f>
        <v>00000000</v>
      </c>
      <c r="I208" t="s">
        <v>35</v>
      </c>
      <c r="J208"/>
      <c r="K208">
        <v>2.88</v>
      </c>
      <c r="L208">
        <v>0.0</v>
      </c>
      <c r="M208"/>
      <c r="N208"/>
      <c r="O208">
        <v>0.52</v>
      </c>
      <c r="P208">
        <v>0.0</v>
      </c>
      <c r="Q208">
        <v>3.4</v>
      </c>
      <c r="R208"/>
      <c r="S208"/>
      <c r="T208"/>
      <c r="U208"/>
      <c r="V208"/>
      <c r="W208">
        <v>18</v>
      </c>
    </row>
    <row r="209" spans="1:23">
      <c r="A209"/>
      <c r="B209" t="s">
        <v>43</v>
      </c>
      <c r="C209" t="s">
        <v>43</v>
      </c>
      <c r="D209" t="s">
        <v>33</v>
      </c>
      <c r="E209" t="s">
        <v>34</v>
      </c>
      <c r="F209" t="str">
        <f>"0000539"</f>
        <v>0000539</v>
      </c>
      <c r="G209">
        <v>1</v>
      </c>
      <c r="H209" t="str">
        <f>"00000000"</f>
        <v>00000000</v>
      </c>
      <c r="I209" t="s">
        <v>35</v>
      </c>
      <c r="J209"/>
      <c r="K209">
        <v>13.04</v>
      </c>
      <c r="L209">
        <v>0.0</v>
      </c>
      <c r="M209"/>
      <c r="N209"/>
      <c r="O209">
        <v>2.35</v>
      </c>
      <c r="P209">
        <v>0.2</v>
      </c>
      <c r="Q209">
        <v>15.59</v>
      </c>
      <c r="R209"/>
      <c r="S209"/>
      <c r="T209"/>
      <c r="U209"/>
      <c r="V209"/>
      <c r="W209">
        <v>18</v>
      </c>
    </row>
    <row r="210" spans="1:23">
      <c r="A210"/>
      <c r="B210" t="s">
        <v>43</v>
      </c>
      <c r="C210" t="s">
        <v>43</v>
      </c>
      <c r="D210" t="s">
        <v>33</v>
      </c>
      <c r="E210" t="s">
        <v>34</v>
      </c>
      <c r="F210" t="str">
        <f>"0000540"</f>
        <v>0000540</v>
      </c>
      <c r="G210">
        <v>1</v>
      </c>
      <c r="H210" t="str">
        <f>"00000000"</f>
        <v>00000000</v>
      </c>
      <c r="I210" t="s">
        <v>35</v>
      </c>
      <c r="J210"/>
      <c r="K210">
        <v>6.69</v>
      </c>
      <c r="L210">
        <v>0.0</v>
      </c>
      <c r="M210"/>
      <c r="N210"/>
      <c r="O210">
        <v>1.21</v>
      </c>
      <c r="P210">
        <v>0.0</v>
      </c>
      <c r="Q210">
        <v>7.9</v>
      </c>
      <c r="R210"/>
      <c r="S210"/>
      <c r="T210"/>
      <c r="U210"/>
      <c r="V210"/>
      <c r="W210">
        <v>18</v>
      </c>
    </row>
    <row r="211" spans="1:23">
      <c r="A211"/>
      <c r="B211" t="s">
        <v>43</v>
      </c>
      <c r="C211" t="s">
        <v>43</v>
      </c>
      <c r="D211" t="s">
        <v>33</v>
      </c>
      <c r="E211" t="s">
        <v>34</v>
      </c>
      <c r="F211" t="str">
        <f>"0000541"</f>
        <v>0000541</v>
      </c>
      <c r="G211">
        <v>1</v>
      </c>
      <c r="H211" t="str">
        <f>"00000000"</f>
        <v>00000000</v>
      </c>
      <c r="I211" t="s">
        <v>35</v>
      </c>
      <c r="J211"/>
      <c r="K211">
        <v>20.49</v>
      </c>
      <c r="L211">
        <v>0.0</v>
      </c>
      <c r="M211"/>
      <c r="N211"/>
      <c r="O211">
        <v>3.69</v>
      </c>
      <c r="P211">
        <v>0.0</v>
      </c>
      <c r="Q211">
        <v>24.18</v>
      </c>
      <c r="R211"/>
      <c r="S211"/>
      <c r="T211"/>
      <c r="U211"/>
      <c r="V211"/>
      <c r="W211">
        <v>18</v>
      </c>
    </row>
    <row r="212" spans="1:23">
      <c r="A212"/>
      <c r="B212" t="s">
        <v>43</v>
      </c>
      <c r="C212" t="s">
        <v>43</v>
      </c>
      <c r="D212" t="s">
        <v>33</v>
      </c>
      <c r="E212" t="s">
        <v>34</v>
      </c>
      <c r="F212" t="str">
        <f>"0000542"</f>
        <v>0000542</v>
      </c>
      <c r="G212">
        <v>1</v>
      </c>
      <c r="H212" t="str">
        <f>"00000000"</f>
        <v>00000000</v>
      </c>
      <c r="I212" t="s">
        <v>35</v>
      </c>
      <c r="J212"/>
      <c r="K212">
        <v>5.11</v>
      </c>
      <c r="L212">
        <v>0.0</v>
      </c>
      <c r="M212"/>
      <c r="N212"/>
      <c r="O212">
        <v>0.92</v>
      </c>
      <c r="P212">
        <v>0.0</v>
      </c>
      <c r="Q212">
        <v>6.03</v>
      </c>
      <c r="R212"/>
      <c r="S212"/>
      <c r="T212"/>
      <c r="U212"/>
      <c r="V212"/>
      <c r="W212">
        <v>18</v>
      </c>
    </row>
    <row r="213" spans="1:23">
      <c r="A213"/>
      <c r="B213" t="s">
        <v>43</v>
      </c>
      <c r="C213" t="s">
        <v>43</v>
      </c>
      <c r="D213" t="s">
        <v>33</v>
      </c>
      <c r="E213" t="s">
        <v>34</v>
      </c>
      <c r="F213" t="str">
        <f>"0000543"</f>
        <v>0000543</v>
      </c>
      <c r="G213">
        <v>1</v>
      </c>
      <c r="H213" t="str">
        <f>"00000000"</f>
        <v>00000000</v>
      </c>
      <c r="I213" t="s">
        <v>35</v>
      </c>
      <c r="J213"/>
      <c r="K213">
        <v>40.9</v>
      </c>
      <c r="L213">
        <v>0.0</v>
      </c>
      <c r="M213"/>
      <c r="N213"/>
      <c r="O213">
        <v>7.36</v>
      </c>
      <c r="P213">
        <v>0.2</v>
      </c>
      <c r="Q213">
        <v>48.47</v>
      </c>
      <c r="R213"/>
      <c r="S213"/>
      <c r="T213"/>
      <c r="U213"/>
      <c r="V213"/>
      <c r="W213">
        <v>18</v>
      </c>
    </row>
    <row r="214" spans="1:23">
      <c r="A214"/>
      <c r="B214" t="s">
        <v>43</v>
      </c>
      <c r="C214" t="s">
        <v>43</v>
      </c>
      <c r="D214" t="s">
        <v>33</v>
      </c>
      <c r="E214" t="s">
        <v>34</v>
      </c>
      <c r="F214" t="str">
        <f>"0000544"</f>
        <v>0000544</v>
      </c>
      <c r="G214">
        <v>1</v>
      </c>
      <c r="H214" t="str">
        <f>"00000000"</f>
        <v>00000000</v>
      </c>
      <c r="I214" t="s">
        <v>35</v>
      </c>
      <c r="J214"/>
      <c r="K214">
        <v>11.02</v>
      </c>
      <c r="L214">
        <v>0.0</v>
      </c>
      <c r="M214"/>
      <c r="N214"/>
      <c r="O214">
        <v>1.98</v>
      </c>
      <c r="P214">
        <v>0.0</v>
      </c>
      <c r="Q214">
        <v>13.0</v>
      </c>
      <c r="R214"/>
      <c r="S214"/>
      <c r="T214"/>
      <c r="U214"/>
      <c r="V214"/>
      <c r="W214">
        <v>18</v>
      </c>
    </row>
    <row r="215" spans="1:23">
      <c r="A215"/>
      <c r="B215" t="s">
        <v>43</v>
      </c>
      <c r="C215" t="s">
        <v>43</v>
      </c>
      <c r="D215" t="s">
        <v>33</v>
      </c>
      <c r="E215" t="s">
        <v>34</v>
      </c>
      <c r="F215" t="str">
        <f>"0000545"</f>
        <v>0000545</v>
      </c>
      <c r="G215">
        <v>1</v>
      </c>
      <c r="H215" t="str">
        <f>"00000000"</f>
        <v>00000000</v>
      </c>
      <c r="I215" t="s">
        <v>35</v>
      </c>
      <c r="J215"/>
      <c r="K215">
        <v>9.32</v>
      </c>
      <c r="L215">
        <v>0.0</v>
      </c>
      <c r="M215"/>
      <c r="N215"/>
      <c r="O215">
        <v>1.68</v>
      </c>
      <c r="P215">
        <v>0.2</v>
      </c>
      <c r="Q215">
        <v>11.2</v>
      </c>
      <c r="R215"/>
      <c r="S215"/>
      <c r="T215"/>
      <c r="U215"/>
      <c r="V215"/>
      <c r="W215">
        <v>18</v>
      </c>
    </row>
    <row r="216" spans="1:23">
      <c r="A216"/>
      <c r="B216" t="s">
        <v>43</v>
      </c>
      <c r="C216" t="s">
        <v>43</v>
      </c>
      <c r="D216" t="s">
        <v>33</v>
      </c>
      <c r="E216" t="s">
        <v>34</v>
      </c>
      <c r="F216" t="str">
        <f>"0000546"</f>
        <v>0000546</v>
      </c>
      <c r="G216">
        <v>1</v>
      </c>
      <c r="H216" t="str">
        <f>"00000000"</f>
        <v>00000000</v>
      </c>
      <c r="I216" t="s">
        <v>35</v>
      </c>
      <c r="J216"/>
      <c r="K216">
        <v>1.27</v>
      </c>
      <c r="L216">
        <v>0.0</v>
      </c>
      <c r="M216"/>
      <c r="N216"/>
      <c r="O216">
        <v>0.23</v>
      </c>
      <c r="P216">
        <v>0.0</v>
      </c>
      <c r="Q216">
        <v>1.5</v>
      </c>
      <c r="R216"/>
      <c r="S216"/>
      <c r="T216"/>
      <c r="U216"/>
      <c r="V216"/>
      <c r="W216">
        <v>18</v>
      </c>
    </row>
    <row r="217" spans="1:23">
      <c r="A217"/>
      <c r="B217" t="s">
        <v>43</v>
      </c>
      <c r="C217" t="s">
        <v>43</v>
      </c>
      <c r="D217" t="s">
        <v>33</v>
      </c>
      <c r="E217" t="s">
        <v>34</v>
      </c>
      <c r="F217" t="str">
        <f>"0000547"</f>
        <v>0000547</v>
      </c>
      <c r="G217">
        <v>1</v>
      </c>
      <c r="H217" t="str">
        <f>"00000000"</f>
        <v>00000000</v>
      </c>
      <c r="I217" t="s">
        <v>35</v>
      </c>
      <c r="J217"/>
      <c r="K217">
        <v>3.02</v>
      </c>
      <c r="L217">
        <v>0.0</v>
      </c>
      <c r="M217"/>
      <c r="N217"/>
      <c r="O217">
        <v>0.54</v>
      </c>
      <c r="P217">
        <v>0.0</v>
      </c>
      <c r="Q217">
        <v>3.56</v>
      </c>
      <c r="R217"/>
      <c r="S217"/>
      <c r="T217"/>
      <c r="U217"/>
      <c r="V217"/>
      <c r="W217">
        <v>18</v>
      </c>
    </row>
    <row r="218" spans="1:23">
      <c r="A218"/>
      <c r="B218" t="s">
        <v>43</v>
      </c>
      <c r="C218" t="s">
        <v>43</v>
      </c>
      <c r="D218" t="s">
        <v>33</v>
      </c>
      <c r="E218" t="s">
        <v>34</v>
      </c>
      <c r="F218" t="str">
        <f>"0000548"</f>
        <v>0000548</v>
      </c>
      <c r="G218">
        <v>1</v>
      </c>
      <c r="H218" t="str">
        <f>"00000000"</f>
        <v>00000000</v>
      </c>
      <c r="I218" t="s">
        <v>35</v>
      </c>
      <c r="J218"/>
      <c r="K218">
        <v>5.99</v>
      </c>
      <c r="L218">
        <v>0.0</v>
      </c>
      <c r="M218"/>
      <c r="N218"/>
      <c r="O218">
        <v>1.08</v>
      </c>
      <c r="P218">
        <v>0.0</v>
      </c>
      <c r="Q218">
        <v>7.06</v>
      </c>
      <c r="R218"/>
      <c r="S218"/>
      <c r="T218"/>
      <c r="U218"/>
      <c r="V218"/>
      <c r="W218">
        <v>18</v>
      </c>
    </row>
    <row r="219" spans="1:23">
      <c r="A219"/>
      <c r="B219" t="s">
        <v>43</v>
      </c>
      <c r="C219" t="s">
        <v>43</v>
      </c>
      <c r="D219" t="s">
        <v>33</v>
      </c>
      <c r="E219" t="s">
        <v>34</v>
      </c>
      <c r="F219" t="str">
        <f>"0000549"</f>
        <v>0000549</v>
      </c>
      <c r="G219">
        <v>1</v>
      </c>
      <c r="H219" t="str">
        <f>"00000000"</f>
        <v>00000000</v>
      </c>
      <c r="I219" t="s">
        <v>35</v>
      </c>
      <c r="J219"/>
      <c r="K219">
        <v>12.61</v>
      </c>
      <c r="L219">
        <v>0.0</v>
      </c>
      <c r="M219"/>
      <c r="N219"/>
      <c r="O219">
        <v>2.27</v>
      </c>
      <c r="P219">
        <v>0.0</v>
      </c>
      <c r="Q219">
        <v>14.88</v>
      </c>
      <c r="R219"/>
      <c r="S219"/>
      <c r="T219"/>
      <c r="U219"/>
      <c r="V219"/>
      <c r="W219">
        <v>18</v>
      </c>
    </row>
    <row r="220" spans="1:23">
      <c r="A220"/>
      <c r="B220" t="s">
        <v>43</v>
      </c>
      <c r="C220" t="s">
        <v>43</v>
      </c>
      <c r="D220" t="s">
        <v>33</v>
      </c>
      <c r="E220" t="s">
        <v>34</v>
      </c>
      <c r="F220" t="str">
        <f>"0000550"</f>
        <v>0000550</v>
      </c>
      <c r="G220">
        <v>1</v>
      </c>
      <c r="H220" t="str">
        <f>"00000000"</f>
        <v>00000000</v>
      </c>
      <c r="I220" t="s">
        <v>35</v>
      </c>
      <c r="J220"/>
      <c r="K220">
        <v>12.39</v>
      </c>
      <c r="L220">
        <v>0.0</v>
      </c>
      <c r="M220"/>
      <c r="N220"/>
      <c r="O220">
        <v>2.23</v>
      </c>
      <c r="P220">
        <v>0.0</v>
      </c>
      <c r="Q220">
        <v>14.62</v>
      </c>
      <c r="R220"/>
      <c r="S220"/>
      <c r="T220"/>
      <c r="U220"/>
      <c r="V220"/>
      <c r="W220">
        <v>18</v>
      </c>
    </row>
    <row r="221" spans="1:23">
      <c r="A221"/>
      <c r="B221" t="s">
        <v>43</v>
      </c>
      <c r="C221" t="s">
        <v>43</v>
      </c>
      <c r="D221" t="s">
        <v>33</v>
      </c>
      <c r="E221" t="s">
        <v>34</v>
      </c>
      <c r="F221" t="str">
        <f>"0000551"</f>
        <v>0000551</v>
      </c>
      <c r="G221">
        <v>1</v>
      </c>
      <c r="H221" t="str">
        <f>"00000000"</f>
        <v>00000000</v>
      </c>
      <c r="I221" t="s">
        <v>35</v>
      </c>
      <c r="J221"/>
      <c r="K221">
        <v>28.64</v>
      </c>
      <c r="L221">
        <v>0.0</v>
      </c>
      <c r="M221"/>
      <c r="N221"/>
      <c r="O221">
        <v>5.16</v>
      </c>
      <c r="P221">
        <v>0.0</v>
      </c>
      <c r="Q221">
        <v>33.8</v>
      </c>
      <c r="R221"/>
      <c r="S221"/>
      <c r="T221"/>
      <c r="U221"/>
      <c r="V221"/>
      <c r="W221">
        <v>18</v>
      </c>
    </row>
    <row r="222" spans="1:23">
      <c r="A222"/>
      <c r="B222" t="s">
        <v>43</v>
      </c>
      <c r="C222" t="s">
        <v>43</v>
      </c>
      <c r="D222" t="s">
        <v>33</v>
      </c>
      <c r="E222" t="s">
        <v>34</v>
      </c>
      <c r="F222" t="str">
        <f>"0000552"</f>
        <v>0000552</v>
      </c>
      <c r="G222">
        <v>1</v>
      </c>
      <c r="H222" t="str">
        <f>"00000000"</f>
        <v>00000000</v>
      </c>
      <c r="I222" t="s">
        <v>35</v>
      </c>
      <c r="J222"/>
      <c r="K222">
        <v>11.59</v>
      </c>
      <c r="L222">
        <v>0.0</v>
      </c>
      <c r="M222"/>
      <c r="N222"/>
      <c r="O222">
        <v>2.09</v>
      </c>
      <c r="P222">
        <v>0.2</v>
      </c>
      <c r="Q222">
        <v>13.87</v>
      </c>
      <c r="R222"/>
      <c r="S222"/>
      <c r="T222"/>
      <c r="U222"/>
      <c r="V222"/>
      <c r="W222">
        <v>18</v>
      </c>
    </row>
    <row r="223" spans="1:23">
      <c r="A223"/>
      <c r="B223" t="s">
        <v>43</v>
      </c>
      <c r="C223" t="s">
        <v>43</v>
      </c>
      <c r="D223" t="s">
        <v>33</v>
      </c>
      <c r="E223" t="s">
        <v>34</v>
      </c>
      <c r="F223" t="str">
        <f>"0000553"</f>
        <v>0000553</v>
      </c>
      <c r="G223">
        <v>1</v>
      </c>
      <c r="H223" t="str">
        <f>"00000000"</f>
        <v>00000000</v>
      </c>
      <c r="I223" t="s">
        <v>35</v>
      </c>
      <c r="J223"/>
      <c r="K223">
        <v>0.87</v>
      </c>
      <c r="L223">
        <v>0.0</v>
      </c>
      <c r="M223"/>
      <c r="N223"/>
      <c r="O223">
        <v>0.16</v>
      </c>
      <c r="P223">
        <v>0.0</v>
      </c>
      <c r="Q223">
        <v>1.03</v>
      </c>
      <c r="R223"/>
      <c r="S223"/>
      <c r="T223"/>
      <c r="U223"/>
      <c r="V223"/>
      <c r="W223">
        <v>18</v>
      </c>
    </row>
    <row r="224" spans="1:23">
      <c r="A224"/>
      <c r="B224" t="s">
        <v>43</v>
      </c>
      <c r="C224" t="s">
        <v>43</v>
      </c>
      <c r="D224" t="s">
        <v>33</v>
      </c>
      <c r="E224" t="s">
        <v>34</v>
      </c>
      <c r="F224" t="str">
        <f>"0000554"</f>
        <v>0000554</v>
      </c>
      <c r="G224">
        <v>1</v>
      </c>
      <c r="H224" t="str">
        <f>"00000000"</f>
        <v>00000000</v>
      </c>
      <c r="I224" t="s">
        <v>35</v>
      </c>
      <c r="J224"/>
      <c r="K224">
        <v>15.68</v>
      </c>
      <c r="L224">
        <v>0.0</v>
      </c>
      <c r="M224"/>
      <c r="N224"/>
      <c r="O224">
        <v>2.82</v>
      </c>
      <c r="P224">
        <v>0.2</v>
      </c>
      <c r="Q224">
        <v>18.7</v>
      </c>
      <c r="R224"/>
      <c r="S224"/>
      <c r="T224"/>
      <c r="U224"/>
      <c r="V224"/>
      <c r="W224">
        <v>18</v>
      </c>
    </row>
    <row r="225" spans="1:23">
      <c r="A225"/>
      <c r="B225" t="s">
        <v>43</v>
      </c>
      <c r="C225" t="s">
        <v>43</v>
      </c>
      <c r="D225" t="s">
        <v>33</v>
      </c>
      <c r="E225" t="s">
        <v>34</v>
      </c>
      <c r="F225" t="str">
        <f>"0000555"</f>
        <v>0000555</v>
      </c>
      <c r="G225">
        <v>1</v>
      </c>
      <c r="H225" t="str">
        <f>"00000000"</f>
        <v>00000000</v>
      </c>
      <c r="I225" t="s">
        <v>35</v>
      </c>
      <c r="J225"/>
      <c r="K225">
        <v>19.67</v>
      </c>
      <c r="L225">
        <v>0.0</v>
      </c>
      <c r="M225"/>
      <c r="N225"/>
      <c r="O225">
        <v>3.54</v>
      </c>
      <c r="P225">
        <v>0.2</v>
      </c>
      <c r="Q225">
        <v>23.42</v>
      </c>
      <c r="R225"/>
      <c r="S225"/>
      <c r="T225"/>
      <c r="U225"/>
      <c r="V225"/>
      <c r="W225">
        <v>18</v>
      </c>
    </row>
    <row r="226" spans="1:23">
      <c r="A226"/>
      <c r="B226" t="s">
        <v>43</v>
      </c>
      <c r="C226" t="s">
        <v>43</v>
      </c>
      <c r="D226" t="s">
        <v>33</v>
      </c>
      <c r="E226" t="s">
        <v>34</v>
      </c>
      <c r="F226" t="str">
        <f>"0000556"</f>
        <v>0000556</v>
      </c>
      <c r="G226">
        <v>1</v>
      </c>
      <c r="H226" t="str">
        <f>"00000000"</f>
        <v>00000000</v>
      </c>
      <c r="I226" t="s">
        <v>35</v>
      </c>
      <c r="J226"/>
      <c r="K226">
        <v>10.24</v>
      </c>
      <c r="L226">
        <v>0.0</v>
      </c>
      <c r="M226"/>
      <c r="N226"/>
      <c r="O226">
        <v>1.84</v>
      </c>
      <c r="P226">
        <v>0.2</v>
      </c>
      <c r="Q226">
        <v>12.28</v>
      </c>
      <c r="R226"/>
      <c r="S226"/>
      <c r="T226"/>
      <c r="U226"/>
      <c r="V226"/>
      <c r="W226">
        <v>18</v>
      </c>
    </row>
    <row r="227" spans="1:23">
      <c r="A227"/>
      <c r="B227" t="s">
        <v>43</v>
      </c>
      <c r="C227" t="s">
        <v>43</v>
      </c>
      <c r="D227" t="s">
        <v>33</v>
      </c>
      <c r="E227" t="s">
        <v>34</v>
      </c>
      <c r="F227" t="str">
        <f>"0000557"</f>
        <v>0000557</v>
      </c>
      <c r="G227">
        <v>1</v>
      </c>
      <c r="H227" t="str">
        <f>"00000000"</f>
        <v>00000000</v>
      </c>
      <c r="I227" t="s">
        <v>35</v>
      </c>
      <c r="J227"/>
      <c r="K227">
        <v>17.91</v>
      </c>
      <c r="L227">
        <v>0.0</v>
      </c>
      <c r="M227"/>
      <c r="N227"/>
      <c r="O227">
        <v>3.22</v>
      </c>
      <c r="P227">
        <v>0.2</v>
      </c>
      <c r="Q227">
        <v>21.33</v>
      </c>
      <c r="R227"/>
      <c r="S227"/>
      <c r="T227"/>
      <c r="U227"/>
      <c r="V227"/>
      <c r="W227">
        <v>18</v>
      </c>
    </row>
    <row r="228" spans="1:23">
      <c r="A228"/>
      <c r="B228" t="s">
        <v>43</v>
      </c>
      <c r="C228" t="s">
        <v>43</v>
      </c>
      <c r="D228" t="s">
        <v>33</v>
      </c>
      <c r="E228" t="s">
        <v>34</v>
      </c>
      <c r="F228" t="str">
        <f>"0000558"</f>
        <v>0000558</v>
      </c>
      <c r="G228">
        <v>1</v>
      </c>
      <c r="H228" t="str">
        <f>"00000000"</f>
        <v>00000000</v>
      </c>
      <c r="I228" t="s">
        <v>35</v>
      </c>
      <c r="J228"/>
      <c r="K228">
        <v>1.64</v>
      </c>
      <c r="L228">
        <v>0.0</v>
      </c>
      <c r="M228"/>
      <c r="N228"/>
      <c r="O228">
        <v>0.3</v>
      </c>
      <c r="P228">
        <v>0.2</v>
      </c>
      <c r="Q228">
        <v>2.14</v>
      </c>
      <c r="R228"/>
      <c r="S228"/>
      <c r="T228"/>
      <c r="U228"/>
      <c r="V228"/>
      <c r="W228">
        <v>18</v>
      </c>
    </row>
    <row r="229" spans="1:23">
      <c r="A229"/>
      <c r="B229" t="s">
        <v>43</v>
      </c>
      <c r="C229" t="s">
        <v>43</v>
      </c>
      <c r="D229" t="s">
        <v>33</v>
      </c>
      <c r="E229" t="s">
        <v>34</v>
      </c>
      <c r="F229" t="str">
        <f>"0000559"</f>
        <v>0000559</v>
      </c>
      <c r="G229">
        <v>1</v>
      </c>
      <c r="H229" t="str">
        <f>"00000000"</f>
        <v>00000000</v>
      </c>
      <c r="I229" t="s">
        <v>35</v>
      </c>
      <c r="J229"/>
      <c r="K229">
        <v>8.95</v>
      </c>
      <c r="L229">
        <v>0.0</v>
      </c>
      <c r="M229"/>
      <c r="N229"/>
      <c r="O229">
        <v>1.61</v>
      </c>
      <c r="P229">
        <v>0.0</v>
      </c>
      <c r="Q229">
        <v>10.56</v>
      </c>
      <c r="R229"/>
      <c r="S229"/>
      <c r="T229"/>
      <c r="U229"/>
      <c r="V229"/>
      <c r="W229">
        <v>18</v>
      </c>
    </row>
    <row r="230" spans="1:23">
      <c r="A230"/>
      <c r="B230" t="s">
        <v>43</v>
      </c>
      <c r="C230" t="s">
        <v>43</v>
      </c>
      <c r="D230" t="s">
        <v>33</v>
      </c>
      <c r="E230" t="s">
        <v>34</v>
      </c>
      <c r="F230" t="str">
        <f>"0000560"</f>
        <v>0000560</v>
      </c>
      <c r="G230">
        <v>1</v>
      </c>
      <c r="H230" t="str">
        <f>"00000000"</f>
        <v>00000000</v>
      </c>
      <c r="I230" t="s">
        <v>35</v>
      </c>
      <c r="J230"/>
      <c r="K230">
        <v>5.08</v>
      </c>
      <c r="L230">
        <v>0.0</v>
      </c>
      <c r="M230"/>
      <c r="N230"/>
      <c r="O230">
        <v>0.92</v>
      </c>
      <c r="P230">
        <v>0.0</v>
      </c>
      <c r="Q230">
        <v>6.0</v>
      </c>
      <c r="R230"/>
      <c r="S230"/>
      <c r="T230"/>
      <c r="U230"/>
      <c r="V230"/>
      <c r="W230">
        <v>18</v>
      </c>
    </row>
    <row r="231" spans="1:23">
      <c r="A231"/>
      <c r="B231" t="s">
        <v>43</v>
      </c>
      <c r="C231" t="s">
        <v>43</v>
      </c>
      <c r="D231" t="s">
        <v>33</v>
      </c>
      <c r="E231" t="s">
        <v>34</v>
      </c>
      <c r="F231" t="str">
        <f>"0000561"</f>
        <v>0000561</v>
      </c>
      <c r="G231">
        <v>1</v>
      </c>
      <c r="H231" t="str">
        <f>"00000000"</f>
        <v>00000000</v>
      </c>
      <c r="I231" t="s">
        <v>35</v>
      </c>
      <c r="J231"/>
      <c r="K231">
        <v>4.07</v>
      </c>
      <c r="L231">
        <v>0.0</v>
      </c>
      <c r="M231"/>
      <c r="N231"/>
      <c r="O231">
        <v>0.73</v>
      </c>
      <c r="P231">
        <v>0.0</v>
      </c>
      <c r="Q231">
        <v>4.8</v>
      </c>
      <c r="R231"/>
      <c r="S231"/>
      <c r="T231"/>
      <c r="U231"/>
      <c r="V231"/>
      <c r="W231">
        <v>18</v>
      </c>
    </row>
    <row r="232" spans="1:23">
      <c r="A232"/>
      <c r="B232" t="s">
        <v>43</v>
      </c>
      <c r="C232" t="s">
        <v>43</v>
      </c>
      <c r="D232" t="s">
        <v>33</v>
      </c>
      <c r="E232" t="s">
        <v>34</v>
      </c>
      <c r="F232" t="str">
        <f>"0000562"</f>
        <v>0000562</v>
      </c>
      <c r="G232">
        <v>1</v>
      </c>
      <c r="H232" t="str">
        <f>"00000000"</f>
        <v>00000000</v>
      </c>
      <c r="I232" t="s">
        <v>35</v>
      </c>
      <c r="J232"/>
      <c r="K232">
        <v>2.31</v>
      </c>
      <c r="L232">
        <v>0.0</v>
      </c>
      <c r="M232"/>
      <c r="N232"/>
      <c r="O232">
        <v>0.42</v>
      </c>
      <c r="P232">
        <v>0.0</v>
      </c>
      <c r="Q232">
        <v>2.73</v>
      </c>
      <c r="R232"/>
      <c r="S232"/>
      <c r="T232"/>
      <c r="U232"/>
      <c r="V232"/>
      <c r="W232">
        <v>18</v>
      </c>
    </row>
    <row r="233" spans="1:23">
      <c r="A233"/>
      <c r="B233" t="s">
        <v>43</v>
      </c>
      <c r="C233" t="s">
        <v>43</v>
      </c>
      <c r="D233" t="s">
        <v>33</v>
      </c>
      <c r="E233" t="s">
        <v>34</v>
      </c>
      <c r="F233" t="str">
        <f>"0000563"</f>
        <v>0000563</v>
      </c>
      <c r="G233">
        <v>1</v>
      </c>
      <c r="H233" t="str">
        <f>"00000000"</f>
        <v>00000000</v>
      </c>
      <c r="I233" t="s">
        <v>35</v>
      </c>
      <c r="J233"/>
      <c r="K233">
        <v>18.94</v>
      </c>
      <c r="L233">
        <v>0.0</v>
      </c>
      <c r="M233"/>
      <c r="N233"/>
      <c r="O233">
        <v>3.41</v>
      </c>
      <c r="P233">
        <v>0.0</v>
      </c>
      <c r="Q233">
        <v>22.35</v>
      </c>
      <c r="R233"/>
      <c r="S233"/>
      <c r="T233"/>
      <c r="U233"/>
      <c r="V233"/>
      <c r="W233">
        <v>18</v>
      </c>
    </row>
    <row r="234" spans="1:23">
      <c r="A234"/>
      <c r="B234" t="s">
        <v>43</v>
      </c>
      <c r="C234" t="s">
        <v>43</v>
      </c>
      <c r="D234" t="s">
        <v>33</v>
      </c>
      <c r="E234" t="s">
        <v>34</v>
      </c>
      <c r="F234" t="str">
        <f>"0000564"</f>
        <v>0000564</v>
      </c>
      <c r="G234">
        <v>1</v>
      </c>
      <c r="H234" t="str">
        <f>"00000000"</f>
        <v>00000000</v>
      </c>
      <c r="I234" t="s">
        <v>35</v>
      </c>
      <c r="J234"/>
      <c r="K234">
        <v>1.71</v>
      </c>
      <c r="L234">
        <v>0.0</v>
      </c>
      <c r="M234"/>
      <c r="N234"/>
      <c r="O234">
        <v>0.31</v>
      </c>
      <c r="P234">
        <v>0.0</v>
      </c>
      <c r="Q234">
        <v>2.02</v>
      </c>
      <c r="R234"/>
      <c r="S234"/>
      <c r="T234"/>
      <c r="U234"/>
      <c r="V234"/>
      <c r="W234">
        <v>18</v>
      </c>
    </row>
    <row r="235" spans="1:23">
      <c r="A235"/>
      <c r="B235" t="s">
        <v>43</v>
      </c>
      <c r="C235" t="s">
        <v>43</v>
      </c>
      <c r="D235" t="s">
        <v>33</v>
      </c>
      <c r="E235" t="s">
        <v>34</v>
      </c>
      <c r="F235" t="str">
        <f>"0000565"</f>
        <v>0000565</v>
      </c>
      <c r="G235">
        <v>1</v>
      </c>
      <c r="H235" t="str">
        <f>"00000000"</f>
        <v>00000000</v>
      </c>
      <c r="I235" t="s">
        <v>35</v>
      </c>
      <c r="J235"/>
      <c r="K235">
        <v>13.34</v>
      </c>
      <c r="L235">
        <v>0.0</v>
      </c>
      <c r="M235"/>
      <c r="N235"/>
      <c r="O235">
        <v>2.4</v>
      </c>
      <c r="P235">
        <v>0.2</v>
      </c>
      <c r="Q235">
        <v>15.94</v>
      </c>
      <c r="R235"/>
      <c r="S235"/>
      <c r="T235"/>
      <c r="U235"/>
      <c r="V235"/>
      <c r="W235">
        <v>18</v>
      </c>
    </row>
    <row r="236" spans="1:23">
      <c r="A236"/>
      <c r="B236" t="s">
        <v>43</v>
      </c>
      <c r="C236" t="s">
        <v>43</v>
      </c>
      <c r="D236" t="s">
        <v>33</v>
      </c>
      <c r="E236" t="s">
        <v>34</v>
      </c>
      <c r="F236" t="str">
        <f>"0000566"</f>
        <v>0000566</v>
      </c>
      <c r="G236">
        <v>1</v>
      </c>
      <c r="H236" t="str">
        <f>"00000000"</f>
        <v>00000000</v>
      </c>
      <c r="I236" t="s">
        <v>35</v>
      </c>
      <c r="J236"/>
      <c r="K236">
        <v>8.81</v>
      </c>
      <c r="L236">
        <v>0.0</v>
      </c>
      <c r="M236"/>
      <c r="N236"/>
      <c r="O236">
        <v>1.59</v>
      </c>
      <c r="P236">
        <v>0.0</v>
      </c>
      <c r="Q236">
        <v>10.4</v>
      </c>
      <c r="R236"/>
      <c r="S236"/>
      <c r="T236"/>
      <c r="U236"/>
      <c r="V236"/>
      <c r="W236">
        <v>18</v>
      </c>
    </row>
    <row r="237" spans="1:23">
      <c r="A237"/>
      <c r="B237" t="s">
        <v>43</v>
      </c>
      <c r="C237" t="s">
        <v>43</v>
      </c>
      <c r="D237" t="s">
        <v>33</v>
      </c>
      <c r="E237" t="s">
        <v>34</v>
      </c>
      <c r="F237" t="str">
        <f>"0000567"</f>
        <v>0000567</v>
      </c>
      <c r="G237">
        <v>1</v>
      </c>
      <c r="H237" t="str">
        <f>"00000000"</f>
        <v>00000000</v>
      </c>
      <c r="I237" t="s">
        <v>35</v>
      </c>
      <c r="J237"/>
      <c r="K237">
        <v>14.75</v>
      </c>
      <c r="L237">
        <v>0.0</v>
      </c>
      <c r="M237"/>
      <c r="N237"/>
      <c r="O237">
        <v>2.65</v>
      </c>
      <c r="P237">
        <v>0.2</v>
      </c>
      <c r="Q237">
        <v>17.6</v>
      </c>
      <c r="R237"/>
      <c r="S237"/>
      <c r="T237"/>
      <c r="U237"/>
      <c r="V237"/>
      <c r="W237">
        <v>18</v>
      </c>
    </row>
    <row r="238" spans="1:23">
      <c r="A238"/>
      <c r="B238" t="s">
        <v>43</v>
      </c>
      <c r="C238" t="s">
        <v>43</v>
      </c>
      <c r="D238" t="s">
        <v>33</v>
      </c>
      <c r="E238" t="s">
        <v>34</v>
      </c>
      <c r="F238" t="str">
        <f>"0000568"</f>
        <v>0000568</v>
      </c>
      <c r="G238">
        <v>1</v>
      </c>
      <c r="H238" t="str">
        <f>"00000000"</f>
        <v>00000000</v>
      </c>
      <c r="I238" t="s">
        <v>35</v>
      </c>
      <c r="J238"/>
      <c r="K238">
        <v>1.69</v>
      </c>
      <c r="L238">
        <v>0.0</v>
      </c>
      <c r="M238"/>
      <c r="N238"/>
      <c r="O238">
        <v>0.31</v>
      </c>
      <c r="P238">
        <v>0.0</v>
      </c>
      <c r="Q238">
        <v>2.0</v>
      </c>
      <c r="R238"/>
      <c r="S238"/>
      <c r="T238"/>
      <c r="U238"/>
      <c r="V238"/>
      <c r="W238">
        <v>18</v>
      </c>
    </row>
    <row r="239" spans="1:23">
      <c r="A239"/>
      <c r="B239" t="s">
        <v>43</v>
      </c>
      <c r="C239" t="s">
        <v>43</v>
      </c>
      <c r="D239" t="s">
        <v>33</v>
      </c>
      <c r="E239" t="s">
        <v>34</v>
      </c>
      <c r="F239" t="str">
        <f>"0000569"</f>
        <v>0000569</v>
      </c>
      <c r="G239">
        <v>1</v>
      </c>
      <c r="H239" t="str">
        <f>"00000000"</f>
        <v>00000000</v>
      </c>
      <c r="I239" t="s">
        <v>35</v>
      </c>
      <c r="J239"/>
      <c r="K239">
        <v>2.16</v>
      </c>
      <c r="L239">
        <v>0.0</v>
      </c>
      <c r="M239"/>
      <c r="N239"/>
      <c r="O239">
        <v>0.39</v>
      </c>
      <c r="P239">
        <v>0.0</v>
      </c>
      <c r="Q239">
        <v>2.55</v>
      </c>
      <c r="R239"/>
      <c r="S239"/>
      <c r="T239"/>
      <c r="U239"/>
      <c r="V239"/>
      <c r="W239">
        <v>18</v>
      </c>
    </row>
    <row r="240" spans="1:23">
      <c r="A240"/>
      <c r="B240" t="s">
        <v>43</v>
      </c>
      <c r="C240" t="s">
        <v>43</v>
      </c>
      <c r="D240" t="s">
        <v>33</v>
      </c>
      <c r="E240" t="s">
        <v>34</v>
      </c>
      <c r="F240" t="str">
        <f>"0000570"</f>
        <v>0000570</v>
      </c>
      <c r="G240">
        <v>1</v>
      </c>
      <c r="H240" t="str">
        <f>"00000000"</f>
        <v>00000000</v>
      </c>
      <c r="I240" t="s">
        <v>35</v>
      </c>
      <c r="J240"/>
      <c r="K240">
        <v>16.78</v>
      </c>
      <c r="L240">
        <v>0.0</v>
      </c>
      <c r="M240"/>
      <c r="N240"/>
      <c r="O240">
        <v>3.02</v>
      </c>
      <c r="P240">
        <v>0.2</v>
      </c>
      <c r="Q240">
        <v>20.0</v>
      </c>
      <c r="R240"/>
      <c r="S240"/>
      <c r="T240"/>
      <c r="U240"/>
      <c r="V240"/>
      <c r="W240">
        <v>18</v>
      </c>
    </row>
    <row r="241" spans="1:23">
      <c r="A241"/>
      <c r="B241" t="s">
        <v>43</v>
      </c>
      <c r="C241" t="s">
        <v>43</v>
      </c>
      <c r="D241" t="s">
        <v>33</v>
      </c>
      <c r="E241" t="s">
        <v>34</v>
      </c>
      <c r="F241" t="str">
        <f>"0000571"</f>
        <v>0000571</v>
      </c>
      <c r="G241">
        <v>1</v>
      </c>
      <c r="H241" t="str">
        <f>"00000000"</f>
        <v>00000000</v>
      </c>
      <c r="I241" t="s">
        <v>35</v>
      </c>
      <c r="J241"/>
      <c r="K241">
        <v>2.97</v>
      </c>
      <c r="L241">
        <v>0.0</v>
      </c>
      <c r="M241"/>
      <c r="N241"/>
      <c r="O241">
        <v>0.53</v>
      </c>
      <c r="P241">
        <v>0.0</v>
      </c>
      <c r="Q241">
        <v>3.5</v>
      </c>
      <c r="R241"/>
      <c r="S241"/>
      <c r="T241"/>
      <c r="U241"/>
      <c r="V241"/>
      <c r="W241">
        <v>18</v>
      </c>
    </row>
    <row r="242" spans="1:23">
      <c r="A242"/>
      <c r="B242" t="s">
        <v>43</v>
      </c>
      <c r="C242" t="s">
        <v>43</v>
      </c>
      <c r="D242" t="s">
        <v>33</v>
      </c>
      <c r="E242" t="s">
        <v>34</v>
      </c>
      <c r="F242" t="str">
        <f>"0000572"</f>
        <v>0000572</v>
      </c>
      <c r="G242">
        <v>1</v>
      </c>
      <c r="H242" t="str">
        <f>"00000000"</f>
        <v>00000000</v>
      </c>
      <c r="I242" t="s">
        <v>35</v>
      </c>
      <c r="J242"/>
      <c r="K242">
        <v>2.12</v>
      </c>
      <c r="L242">
        <v>0.0</v>
      </c>
      <c r="M242"/>
      <c r="N242"/>
      <c r="O242">
        <v>0.38</v>
      </c>
      <c r="P242">
        <v>0.0</v>
      </c>
      <c r="Q242">
        <v>2.5</v>
      </c>
      <c r="R242"/>
      <c r="S242"/>
      <c r="T242"/>
      <c r="U242"/>
      <c r="V242"/>
      <c r="W242">
        <v>18</v>
      </c>
    </row>
    <row r="243" spans="1:23">
      <c r="A243"/>
      <c r="B243" t="s">
        <v>43</v>
      </c>
      <c r="C243" t="s">
        <v>43</v>
      </c>
      <c r="D243" t="s">
        <v>33</v>
      </c>
      <c r="E243" t="s">
        <v>34</v>
      </c>
      <c r="F243" t="str">
        <f>"0000573"</f>
        <v>0000573</v>
      </c>
      <c r="G243">
        <v>1</v>
      </c>
      <c r="H243" t="str">
        <f>"00000000"</f>
        <v>00000000</v>
      </c>
      <c r="I243" t="s">
        <v>35</v>
      </c>
      <c r="J243"/>
      <c r="K243">
        <v>4.66</v>
      </c>
      <c r="L243">
        <v>0.0</v>
      </c>
      <c r="M243"/>
      <c r="N243"/>
      <c r="O243">
        <v>0.84</v>
      </c>
      <c r="P243">
        <v>0.0</v>
      </c>
      <c r="Q243">
        <v>5.5</v>
      </c>
      <c r="R243"/>
      <c r="S243"/>
      <c r="T243"/>
      <c r="U243"/>
      <c r="V243"/>
      <c r="W243">
        <v>18</v>
      </c>
    </row>
    <row r="244" spans="1:23">
      <c r="A244"/>
      <c r="B244" t="s">
        <v>43</v>
      </c>
      <c r="C244" t="s">
        <v>43</v>
      </c>
      <c r="D244" t="s">
        <v>33</v>
      </c>
      <c r="E244" t="s">
        <v>34</v>
      </c>
      <c r="F244" t="str">
        <f>"0000574"</f>
        <v>0000574</v>
      </c>
      <c r="G244">
        <v>1</v>
      </c>
      <c r="H244" t="str">
        <f>"00000000"</f>
        <v>00000000</v>
      </c>
      <c r="I244" t="s">
        <v>35</v>
      </c>
      <c r="J244"/>
      <c r="K244">
        <v>47.03</v>
      </c>
      <c r="L244">
        <v>0.0</v>
      </c>
      <c r="M244"/>
      <c r="N244"/>
      <c r="O244">
        <v>8.47</v>
      </c>
      <c r="P244">
        <v>0.2</v>
      </c>
      <c r="Q244">
        <v>55.7</v>
      </c>
      <c r="R244"/>
      <c r="S244"/>
      <c r="T244"/>
      <c r="U244"/>
      <c r="V244"/>
      <c r="W244">
        <v>18</v>
      </c>
    </row>
    <row r="245" spans="1:23">
      <c r="A245"/>
      <c r="B245" t="s">
        <v>43</v>
      </c>
      <c r="C245" t="s">
        <v>43</v>
      </c>
      <c r="D245" t="s">
        <v>33</v>
      </c>
      <c r="E245" t="s">
        <v>34</v>
      </c>
      <c r="F245" t="str">
        <f>"0000575"</f>
        <v>0000575</v>
      </c>
      <c r="G245">
        <v>1</v>
      </c>
      <c r="H245" t="str">
        <f>"00000000"</f>
        <v>00000000</v>
      </c>
      <c r="I245" t="s">
        <v>35</v>
      </c>
      <c r="J245"/>
      <c r="K245">
        <v>2.12</v>
      </c>
      <c r="L245">
        <v>0.0</v>
      </c>
      <c r="M245"/>
      <c r="N245"/>
      <c r="O245">
        <v>0.38</v>
      </c>
      <c r="P245">
        <v>0.0</v>
      </c>
      <c r="Q245">
        <v>2.5</v>
      </c>
      <c r="R245"/>
      <c r="S245"/>
      <c r="T245"/>
      <c r="U245"/>
      <c r="V245"/>
      <c r="W245">
        <v>18</v>
      </c>
    </row>
    <row r="246" spans="1:23">
      <c r="A246"/>
      <c r="B246" t="s">
        <v>43</v>
      </c>
      <c r="C246" t="s">
        <v>43</v>
      </c>
      <c r="D246" t="s">
        <v>33</v>
      </c>
      <c r="E246" t="s">
        <v>34</v>
      </c>
      <c r="F246" t="str">
        <f>"0000576"</f>
        <v>0000576</v>
      </c>
      <c r="G246">
        <v>1</v>
      </c>
      <c r="H246" t="str">
        <f>"00000000"</f>
        <v>00000000</v>
      </c>
      <c r="I246" t="s">
        <v>35</v>
      </c>
      <c r="J246"/>
      <c r="K246">
        <v>6.86</v>
      </c>
      <c r="L246">
        <v>0.0</v>
      </c>
      <c r="M246"/>
      <c r="N246"/>
      <c r="O246">
        <v>1.24</v>
      </c>
      <c r="P246">
        <v>0.2</v>
      </c>
      <c r="Q246">
        <v>8.3</v>
      </c>
      <c r="R246"/>
      <c r="S246"/>
      <c r="T246"/>
      <c r="U246"/>
      <c r="V246"/>
      <c r="W246">
        <v>18</v>
      </c>
    </row>
    <row r="247" spans="1:23">
      <c r="A247"/>
      <c r="B247" t="s">
        <v>43</v>
      </c>
      <c r="C247" t="s">
        <v>43</v>
      </c>
      <c r="D247" t="s">
        <v>33</v>
      </c>
      <c r="E247" t="s">
        <v>34</v>
      </c>
      <c r="F247" t="str">
        <f>"0000577"</f>
        <v>0000577</v>
      </c>
      <c r="G247">
        <v>1</v>
      </c>
      <c r="H247" t="str">
        <f>"00000000"</f>
        <v>00000000</v>
      </c>
      <c r="I247" t="s">
        <v>35</v>
      </c>
      <c r="J247"/>
      <c r="K247">
        <v>17.74</v>
      </c>
      <c r="L247">
        <v>0.0</v>
      </c>
      <c r="M247"/>
      <c r="N247"/>
      <c r="O247">
        <v>3.19</v>
      </c>
      <c r="P247">
        <v>0.2</v>
      </c>
      <c r="Q247">
        <v>21.13</v>
      </c>
      <c r="R247"/>
      <c r="S247"/>
      <c r="T247"/>
      <c r="U247"/>
      <c r="V247"/>
      <c r="W247">
        <v>18</v>
      </c>
    </row>
    <row r="248" spans="1:23">
      <c r="A248"/>
      <c r="B248" t="s">
        <v>43</v>
      </c>
      <c r="C248" t="s">
        <v>43</v>
      </c>
      <c r="D248" t="s">
        <v>33</v>
      </c>
      <c r="E248" t="s">
        <v>34</v>
      </c>
      <c r="F248" t="str">
        <f>"0000578"</f>
        <v>0000578</v>
      </c>
      <c r="G248">
        <v>1</v>
      </c>
      <c r="H248" t="str">
        <f>"00000000"</f>
        <v>00000000</v>
      </c>
      <c r="I248" t="s">
        <v>35</v>
      </c>
      <c r="J248"/>
      <c r="K248">
        <v>2.56</v>
      </c>
      <c r="L248">
        <v>0.0</v>
      </c>
      <c r="M248"/>
      <c r="N248"/>
      <c r="O248">
        <v>0.46</v>
      </c>
      <c r="P248">
        <v>0.2</v>
      </c>
      <c r="Q248">
        <v>3.23</v>
      </c>
      <c r="R248"/>
      <c r="S248"/>
      <c r="T248"/>
      <c r="U248"/>
      <c r="V248"/>
      <c r="W248">
        <v>18</v>
      </c>
    </row>
    <row r="249" spans="1:23">
      <c r="A249"/>
      <c r="B249" t="s">
        <v>43</v>
      </c>
      <c r="C249" t="s">
        <v>43</v>
      </c>
      <c r="D249" t="s">
        <v>33</v>
      </c>
      <c r="E249" t="s">
        <v>34</v>
      </c>
      <c r="F249" t="str">
        <f>"0000579"</f>
        <v>0000579</v>
      </c>
      <c r="G249">
        <v>1</v>
      </c>
      <c r="H249" t="str">
        <f>"00000000"</f>
        <v>00000000</v>
      </c>
      <c r="I249" t="s">
        <v>35</v>
      </c>
      <c r="J249"/>
      <c r="K249">
        <v>13.6</v>
      </c>
      <c r="L249">
        <v>0.0</v>
      </c>
      <c r="M249"/>
      <c r="N249"/>
      <c r="O249">
        <v>2.45</v>
      </c>
      <c r="P249">
        <v>0.2</v>
      </c>
      <c r="Q249">
        <v>16.25</v>
      </c>
      <c r="R249"/>
      <c r="S249"/>
      <c r="T249"/>
      <c r="U249"/>
      <c r="V249"/>
      <c r="W249">
        <v>18</v>
      </c>
    </row>
    <row r="250" spans="1:23">
      <c r="A250"/>
      <c r="B250" t="s">
        <v>43</v>
      </c>
      <c r="C250" t="s">
        <v>43</v>
      </c>
      <c r="D250" t="s">
        <v>33</v>
      </c>
      <c r="E250" t="s">
        <v>34</v>
      </c>
      <c r="F250" t="str">
        <f>"0000580"</f>
        <v>0000580</v>
      </c>
      <c r="G250">
        <v>1</v>
      </c>
      <c r="H250" t="str">
        <f>"00000000"</f>
        <v>00000000</v>
      </c>
      <c r="I250" t="s">
        <v>35</v>
      </c>
      <c r="J250"/>
      <c r="K250">
        <v>2.97</v>
      </c>
      <c r="L250">
        <v>0.0</v>
      </c>
      <c r="M250"/>
      <c r="N250"/>
      <c r="O250">
        <v>0.53</v>
      </c>
      <c r="P250">
        <v>0.0</v>
      </c>
      <c r="Q250">
        <v>3.5</v>
      </c>
      <c r="R250"/>
      <c r="S250"/>
      <c r="T250"/>
      <c r="U250"/>
      <c r="V250"/>
      <c r="W250">
        <v>18</v>
      </c>
    </row>
    <row r="251" spans="1:23">
      <c r="A251"/>
      <c r="B251" t="s">
        <v>43</v>
      </c>
      <c r="C251" t="s">
        <v>43</v>
      </c>
      <c r="D251" t="s">
        <v>33</v>
      </c>
      <c r="E251" t="s">
        <v>34</v>
      </c>
      <c r="F251" t="str">
        <f>"0000581"</f>
        <v>0000581</v>
      </c>
      <c r="G251">
        <v>1</v>
      </c>
      <c r="H251" t="str">
        <f>"00000000"</f>
        <v>00000000</v>
      </c>
      <c r="I251" t="s">
        <v>35</v>
      </c>
      <c r="J251"/>
      <c r="K251">
        <v>4.24</v>
      </c>
      <c r="L251">
        <v>0.0</v>
      </c>
      <c r="M251"/>
      <c r="N251"/>
      <c r="O251">
        <v>0.76</v>
      </c>
      <c r="P251">
        <v>0.0</v>
      </c>
      <c r="Q251">
        <v>5.0</v>
      </c>
      <c r="R251"/>
      <c r="S251"/>
      <c r="T251"/>
      <c r="U251"/>
      <c r="V251"/>
      <c r="W251">
        <v>18</v>
      </c>
    </row>
    <row r="252" spans="1:23">
      <c r="A252"/>
      <c r="B252" t="s">
        <v>43</v>
      </c>
      <c r="C252" t="s">
        <v>43</v>
      </c>
      <c r="D252" t="s">
        <v>36</v>
      </c>
      <c r="E252" t="s">
        <v>37</v>
      </c>
      <c r="F252" t="str">
        <f>"0000016"</f>
        <v>0000016</v>
      </c>
      <c r="G252">
        <v>6</v>
      </c>
      <c r="H252" t="str">
        <f>"20547236875"</f>
        <v>20547236875</v>
      </c>
      <c r="I252" t="s">
        <v>44</v>
      </c>
      <c r="J252"/>
      <c r="K252">
        <v>16.5</v>
      </c>
      <c r="L252">
        <v>0.0</v>
      </c>
      <c r="M252"/>
      <c r="N252"/>
      <c r="O252">
        <v>2.97</v>
      </c>
      <c r="P252">
        <v>0.2</v>
      </c>
      <c r="Q252">
        <v>19.68</v>
      </c>
      <c r="R252"/>
      <c r="S252"/>
      <c r="T252"/>
      <c r="U252"/>
      <c r="V252"/>
      <c r="W252">
        <v>18</v>
      </c>
    </row>
    <row r="253" spans="1:23">
      <c r="A253"/>
      <c r="B253" t="s">
        <v>43</v>
      </c>
      <c r="C253" t="s">
        <v>43</v>
      </c>
      <c r="D253" t="s">
        <v>33</v>
      </c>
      <c r="E253" t="s">
        <v>34</v>
      </c>
      <c r="F253" t="str">
        <f>"0000582"</f>
        <v>0000582</v>
      </c>
      <c r="G253">
        <v>1</v>
      </c>
      <c r="H253" t="str">
        <f>"00000000"</f>
        <v>00000000</v>
      </c>
      <c r="I253" t="s">
        <v>35</v>
      </c>
      <c r="J253"/>
      <c r="K253">
        <v>2.12</v>
      </c>
      <c r="L253">
        <v>0.0</v>
      </c>
      <c r="M253"/>
      <c r="N253"/>
      <c r="O253">
        <v>0.38</v>
      </c>
      <c r="P253">
        <v>0.0</v>
      </c>
      <c r="Q253">
        <v>2.5</v>
      </c>
      <c r="R253"/>
      <c r="S253"/>
      <c r="T253"/>
      <c r="U253"/>
      <c r="V253"/>
      <c r="W253">
        <v>18</v>
      </c>
    </row>
    <row r="254" spans="1:23">
      <c r="A254"/>
      <c r="B254" t="s">
        <v>43</v>
      </c>
      <c r="C254" t="s">
        <v>43</v>
      </c>
      <c r="D254" t="s">
        <v>33</v>
      </c>
      <c r="E254" t="s">
        <v>34</v>
      </c>
      <c r="F254" t="str">
        <f>"0000583"</f>
        <v>0000583</v>
      </c>
      <c r="G254">
        <v>1</v>
      </c>
      <c r="H254" t="str">
        <f>"00000000"</f>
        <v>00000000</v>
      </c>
      <c r="I254" t="s">
        <v>35</v>
      </c>
      <c r="J254"/>
      <c r="K254">
        <v>9.66</v>
      </c>
      <c r="L254">
        <v>0.0</v>
      </c>
      <c r="M254"/>
      <c r="N254"/>
      <c r="O254">
        <v>1.74</v>
      </c>
      <c r="P254">
        <v>0.0</v>
      </c>
      <c r="Q254">
        <v>11.4</v>
      </c>
      <c r="R254"/>
      <c r="S254"/>
      <c r="T254"/>
      <c r="U254"/>
      <c r="V254"/>
      <c r="W254">
        <v>18</v>
      </c>
    </row>
    <row r="255" spans="1:23">
      <c r="A255"/>
      <c r="B255" t="s">
        <v>43</v>
      </c>
      <c r="C255" t="s">
        <v>43</v>
      </c>
      <c r="D255" t="s">
        <v>33</v>
      </c>
      <c r="E255" t="s">
        <v>34</v>
      </c>
      <c r="F255" t="str">
        <f>"0000584"</f>
        <v>0000584</v>
      </c>
      <c r="G255">
        <v>1</v>
      </c>
      <c r="H255" t="str">
        <f>"00000000"</f>
        <v>00000000</v>
      </c>
      <c r="I255" t="s">
        <v>35</v>
      </c>
      <c r="J255"/>
      <c r="K255">
        <v>47.27</v>
      </c>
      <c r="L255">
        <v>0.0</v>
      </c>
      <c r="M255"/>
      <c r="N255"/>
      <c r="O255">
        <v>8.51</v>
      </c>
      <c r="P255">
        <v>0.2</v>
      </c>
      <c r="Q255">
        <v>55.98</v>
      </c>
      <c r="R255"/>
      <c r="S255"/>
      <c r="T255"/>
      <c r="U255"/>
      <c r="V255"/>
      <c r="W255">
        <v>18</v>
      </c>
    </row>
    <row r="256" spans="1:23">
      <c r="A256"/>
      <c r="B256" t="s">
        <v>43</v>
      </c>
      <c r="C256" t="s">
        <v>43</v>
      </c>
      <c r="D256" t="s">
        <v>33</v>
      </c>
      <c r="E256" t="s">
        <v>34</v>
      </c>
      <c r="F256" t="str">
        <f>"0000585"</f>
        <v>0000585</v>
      </c>
      <c r="G256">
        <v>1</v>
      </c>
      <c r="H256" t="str">
        <f>"00000000"</f>
        <v>00000000</v>
      </c>
      <c r="I256" t="s">
        <v>35</v>
      </c>
      <c r="J256"/>
      <c r="K256">
        <v>5.14</v>
      </c>
      <c r="L256">
        <v>0.0</v>
      </c>
      <c r="M256"/>
      <c r="N256"/>
      <c r="O256">
        <v>0.92</v>
      </c>
      <c r="P256">
        <v>0.0</v>
      </c>
      <c r="Q256">
        <v>6.06</v>
      </c>
      <c r="R256"/>
      <c r="S256"/>
      <c r="T256"/>
      <c r="U256"/>
      <c r="V256"/>
      <c r="W256">
        <v>18</v>
      </c>
    </row>
    <row r="257" spans="1:23">
      <c r="A257"/>
      <c r="B257" t="s">
        <v>43</v>
      </c>
      <c r="C257" t="s">
        <v>43</v>
      </c>
      <c r="D257" t="s">
        <v>33</v>
      </c>
      <c r="E257" t="s">
        <v>34</v>
      </c>
      <c r="F257" t="str">
        <f>"0000586"</f>
        <v>0000586</v>
      </c>
      <c r="G257">
        <v>1</v>
      </c>
      <c r="H257" t="str">
        <f>"00000000"</f>
        <v>00000000</v>
      </c>
      <c r="I257" t="s">
        <v>35</v>
      </c>
      <c r="J257"/>
      <c r="K257">
        <v>1.69</v>
      </c>
      <c r="L257">
        <v>0.0</v>
      </c>
      <c r="M257"/>
      <c r="N257"/>
      <c r="O257">
        <v>0.31</v>
      </c>
      <c r="P257">
        <v>0.0</v>
      </c>
      <c r="Q257">
        <v>2.0</v>
      </c>
      <c r="R257"/>
      <c r="S257"/>
      <c r="T257"/>
      <c r="U257"/>
      <c r="V257"/>
      <c r="W257">
        <v>18</v>
      </c>
    </row>
    <row r="258" spans="1:23">
      <c r="A258"/>
      <c r="B258" t="s">
        <v>43</v>
      </c>
      <c r="C258" t="s">
        <v>43</v>
      </c>
      <c r="D258" t="s">
        <v>33</v>
      </c>
      <c r="E258" t="s">
        <v>34</v>
      </c>
      <c r="F258" t="str">
        <f>"0000587"</f>
        <v>0000587</v>
      </c>
      <c r="G258">
        <v>1</v>
      </c>
      <c r="H258" t="str">
        <f>"00000000"</f>
        <v>00000000</v>
      </c>
      <c r="I258" t="s">
        <v>35</v>
      </c>
      <c r="J258"/>
      <c r="K258">
        <v>29.66</v>
      </c>
      <c r="L258">
        <v>0.0</v>
      </c>
      <c r="M258"/>
      <c r="N258"/>
      <c r="O258">
        <v>5.34</v>
      </c>
      <c r="P258">
        <v>0.0</v>
      </c>
      <c r="Q258">
        <v>35.0</v>
      </c>
      <c r="R258"/>
      <c r="S258"/>
      <c r="T258"/>
      <c r="U258"/>
      <c r="V258"/>
      <c r="W258">
        <v>18</v>
      </c>
    </row>
    <row r="259" spans="1:23">
      <c r="A259"/>
      <c r="B259" t="s">
        <v>43</v>
      </c>
      <c r="C259" t="s">
        <v>43</v>
      </c>
      <c r="D259" t="s">
        <v>33</v>
      </c>
      <c r="E259" t="s">
        <v>34</v>
      </c>
      <c r="F259" t="str">
        <f>"0000588"</f>
        <v>0000588</v>
      </c>
      <c r="G259">
        <v>1</v>
      </c>
      <c r="H259" t="str">
        <f>"00000000"</f>
        <v>00000000</v>
      </c>
      <c r="I259" t="s">
        <v>35</v>
      </c>
      <c r="J259"/>
      <c r="K259">
        <v>11.27</v>
      </c>
      <c r="L259">
        <v>0.0</v>
      </c>
      <c r="M259"/>
      <c r="N259"/>
      <c r="O259">
        <v>2.03</v>
      </c>
      <c r="P259">
        <v>0.0</v>
      </c>
      <c r="Q259">
        <v>13.3</v>
      </c>
      <c r="R259"/>
      <c r="S259"/>
      <c r="T259"/>
      <c r="U259"/>
      <c r="V259"/>
      <c r="W259">
        <v>18</v>
      </c>
    </row>
    <row r="260" spans="1:23">
      <c r="A260"/>
      <c r="B260" t="s">
        <v>43</v>
      </c>
      <c r="C260" t="s">
        <v>43</v>
      </c>
      <c r="D260" t="s">
        <v>33</v>
      </c>
      <c r="E260" t="s">
        <v>34</v>
      </c>
      <c r="F260" t="str">
        <f>"0000589"</f>
        <v>0000589</v>
      </c>
      <c r="G260">
        <v>1</v>
      </c>
      <c r="H260" t="str">
        <f>"00000000"</f>
        <v>00000000</v>
      </c>
      <c r="I260" t="s">
        <v>35</v>
      </c>
      <c r="J260"/>
      <c r="K260">
        <v>9.94</v>
      </c>
      <c r="L260">
        <v>0.0</v>
      </c>
      <c r="M260"/>
      <c r="N260"/>
      <c r="O260">
        <v>1.79</v>
      </c>
      <c r="P260">
        <v>0.2</v>
      </c>
      <c r="Q260">
        <v>11.93</v>
      </c>
      <c r="R260"/>
      <c r="S260"/>
      <c r="T260"/>
      <c r="U260"/>
      <c r="V260"/>
      <c r="W260">
        <v>18</v>
      </c>
    </row>
    <row r="261" spans="1:23">
      <c r="A261"/>
      <c r="B261" t="s">
        <v>43</v>
      </c>
      <c r="C261" t="s">
        <v>43</v>
      </c>
      <c r="D261" t="s">
        <v>33</v>
      </c>
      <c r="E261" t="s">
        <v>34</v>
      </c>
      <c r="F261" t="str">
        <f>"0000590"</f>
        <v>0000590</v>
      </c>
      <c r="G261">
        <v>1</v>
      </c>
      <c r="H261" t="str">
        <f>"00000000"</f>
        <v>00000000</v>
      </c>
      <c r="I261" t="s">
        <v>35</v>
      </c>
      <c r="J261"/>
      <c r="K261">
        <v>7.8</v>
      </c>
      <c r="L261">
        <v>0.0</v>
      </c>
      <c r="M261"/>
      <c r="N261"/>
      <c r="O261">
        <v>1.4</v>
      </c>
      <c r="P261">
        <v>0.2</v>
      </c>
      <c r="Q261">
        <v>9.4</v>
      </c>
      <c r="R261"/>
      <c r="S261"/>
      <c r="T261"/>
      <c r="U261"/>
      <c r="V261"/>
      <c r="W261">
        <v>18</v>
      </c>
    </row>
    <row r="262" spans="1:23">
      <c r="A262"/>
      <c r="B262" t="s">
        <v>43</v>
      </c>
      <c r="C262" t="s">
        <v>43</v>
      </c>
      <c r="D262" t="s">
        <v>33</v>
      </c>
      <c r="E262" t="s">
        <v>34</v>
      </c>
      <c r="F262" t="str">
        <f>"0000591"</f>
        <v>0000591</v>
      </c>
      <c r="G262">
        <v>1</v>
      </c>
      <c r="H262" t="str">
        <f>"00000000"</f>
        <v>00000000</v>
      </c>
      <c r="I262" t="s">
        <v>35</v>
      </c>
      <c r="J262"/>
      <c r="K262">
        <v>5.93</v>
      </c>
      <c r="L262">
        <v>0.0</v>
      </c>
      <c r="M262"/>
      <c r="N262"/>
      <c r="O262">
        <v>1.07</v>
      </c>
      <c r="P262">
        <v>0.0</v>
      </c>
      <c r="Q262">
        <v>7.0</v>
      </c>
      <c r="R262"/>
      <c r="S262"/>
      <c r="T262"/>
      <c r="U262"/>
      <c r="V262"/>
      <c r="W262">
        <v>18</v>
      </c>
    </row>
    <row r="263" spans="1:23">
      <c r="A263"/>
      <c r="B263" t="s">
        <v>43</v>
      </c>
      <c r="C263" t="s">
        <v>43</v>
      </c>
      <c r="D263" t="s">
        <v>33</v>
      </c>
      <c r="E263" t="s">
        <v>34</v>
      </c>
      <c r="F263" t="str">
        <f>"0000592"</f>
        <v>0000592</v>
      </c>
      <c r="G263">
        <v>1</v>
      </c>
      <c r="H263" t="str">
        <f>"00000000"</f>
        <v>00000000</v>
      </c>
      <c r="I263" t="s">
        <v>35</v>
      </c>
      <c r="J263"/>
      <c r="K263">
        <v>2.88</v>
      </c>
      <c r="L263">
        <v>0.0</v>
      </c>
      <c r="M263"/>
      <c r="N263"/>
      <c r="O263">
        <v>0.52</v>
      </c>
      <c r="P263">
        <v>0.0</v>
      </c>
      <c r="Q263">
        <v>3.4</v>
      </c>
      <c r="R263"/>
      <c r="S263"/>
      <c r="T263"/>
      <c r="U263"/>
      <c r="V263"/>
      <c r="W263">
        <v>18</v>
      </c>
    </row>
    <row r="264" spans="1:23">
      <c r="A264"/>
      <c r="B264" t="s">
        <v>43</v>
      </c>
      <c r="C264" t="s">
        <v>43</v>
      </c>
      <c r="D264" t="s">
        <v>33</v>
      </c>
      <c r="E264" t="s">
        <v>34</v>
      </c>
      <c r="F264" t="str">
        <f>"0000593"</f>
        <v>0000593</v>
      </c>
      <c r="G264">
        <v>1</v>
      </c>
      <c r="H264" t="str">
        <f>"00000000"</f>
        <v>00000000</v>
      </c>
      <c r="I264" t="s">
        <v>35</v>
      </c>
      <c r="J264"/>
      <c r="K264">
        <v>5.08</v>
      </c>
      <c r="L264">
        <v>0.0</v>
      </c>
      <c r="M264"/>
      <c r="N264"/>
      <c r="O264">
        <v>0.92</v>
      </c>
      <c r="P264">
        <v>0.2</v>
      </c>
      <c r="Q264">
        <v>6.2</v>
      </c>
      <c r="R264"/>
      <c r="S264"/>
      <c r="T264"/>
      <c r="U264"/>
      <c r="V264"/>
      <c r="W264">
        <v>18</v>
      </c>
    </row>
    <row r="265" spans="1:23">
      <c r="A265"/>
      <c r="B265" t="s">
        <v>43</v>
      </c>
      <c r="C265" t="s">
        <v>43</v>
      </c>
      <c r="D265" t="s">
        <v>33</v>
      </c>
      <c r="E265" t="s">
        <v>34</v>
      </c>
      <c r="F265" t="str">
        <f>"0000594"</f>
        <v>0000594</v>
      </c>
      <c r="G265">
        <v>1</v>
      </c>
      <c r="H265" t="str">
        <f>"00000000"</f>
        <v>00000000</v>
      </c>
      <c r="I265" t="s">
        <v>35</v>
      </c>
      <c r="J265"/>
      <c r="K265">
        <v>17.62</v>
      </c>
      <c r="L265">
        <v>0.0</v>
      </c>
      <c r="M265"/>
      <c r="N265"/>
      <c r="O265">
        <v>3.17</v>
      </c>
      <c r="P265">
        <v>0.0</v>
      </c>
      <c r="Q265">
        <v>20.79</v>
      </c>
      <c r="R265"/>
      <c r="S265"/>
      <c r="T265"/>
      <c r="U265"/>
      <c r="V265"/>
      <c r="W265">
        <v>18</v>
      </c>
    </row>
    <row r="266" spans="1:23">
      <c r="A266"/>
      <c r="B266" t="s">
        <v>43</v>
      </c>
      <c r="C266" t="s">
        <v>43</v>
      </c>
      <c r="D266" t="s">
        <v>33</v>
      </c>
      <c r="E266" t="s">
        <v>34</v>
      </c>
      <c r="F266" t="str">
        <f>"0000595"</f>
        <v>0000595</v>
      </c>
      <c r="G266">
        <v>1</v>
      </c>
      <c r="H266" t="str">
        <f>"00000000"</f>
        <v>00000000</v>
      </c>
      <c r="I266" t="s">
        <v>35</v>
      </c>
      <c r="J266"/>
      <c r="K266">
        <v>34.53</v>
      </c>
      <c r="L266">
        <v>0.0</v>
      </c>
      <c r="M266"/>
      <c r="N266"/>
      <c r="O266">
        <v>6.21</v>
      </c>
      <c r="P266">
        <v>0.2</v>
      </c>
      <c r="Q266">
        <v>40.94</v>
      </c>
      <c r="R266"/>
      <c r="S266"/>
      <c r="T266"/>
      <c r="U266"/>
      <c r="V266"/>
      <c r="W266">
        <v>18</v>
      </c>
    </row>
    <row r="267" spans="1:23">
      <c r="A267"/>
      <c r="B267" t="s">
        <v>43</v>
      </c>
      <c r="C267" t="s">
        <v>43</v>
      </c>
      <c r="D267" t="s">
        <v>33</v>
      </c>
      <c r="E267" t="s">
        <v>34</v>
      </c>
      <c r="F267" t="str">
        <f>"0000596"</f>
        <v>0000596</v>
      </c>
      <c r="G267">
        <v>1</v>
      </c>
      <c r="H267" t="str">
        <f>"00000000"</f>
        <v>00000000</v>
      </c>
      <c r="I267" t="s">
        <v>35</v>
      </c>
      <c r="J267"/>
      <c r="K267">
        <v>0.65</v>
      </c>
      <c r="L267">
        <v>0.0</v>
      </c>
      <c r="M267"/>
      <c r="N267"/>
      <c r="O267">
        <v>0.12</v>
      </c>
      <c r="P267">
        <v>0.0</v>
      </c>
      <c r="Q267">
        <v>0.77</v>
      </c>
      <c r="R267"/>
      <c r="S267"/>
      <c r="T267"/>
      <c r="U267"/>
      <c r="V267"/>
      <c r="W267">
        <v>18</v>
      </c>
    </row>
    <row r="268" spans="1:23">
      <c r="A268"/>
      <c r="B268" t="s">
        <v>43</v>
      </c>
      <c r="C268" t="s">
        <v>43</v>
      </c>
      <c r="D268" t="s">
        <v>33</v>
      </c>
      <c r="E268" t="s">
        <v>34</v>
      </c>
      <c r="F268" t="str">
        <f>"0000597"</f>
        <v>0000597</v>
      </c>
      <c r="G268">
        <v>1</v>
      </c>
      <c r="H268" t="str">
        <f>"00000000"</f>
        <v>00000000</v>
      </c>
      <c r="I268" t="s">
        <v>35</v>
      </c>
      <c r="J268"/>
      <c r="K268">
        <v>9.34</v>
      </c>
      <c r="L268">
        <v>0.0</v>
      </c>
      <c r="M268"/>
      <c r="N268"/>
      <c r="O268">
        <v>1.68</v>
      </c>
      <c r="P268">
        <v>0.0</v>
      </c>
      <c r="Q268">
        <v>11.02</v>
      </c>
      <c r="R268"/>
      <c r="S268"/>
      <c r="T268"/>
      <c r="U268"/>
      <c r="V268"/>
      <c r="W268">
        <v>18</v>
      </c>
    </row>
    <row r="269" spans="1:23">
      <c r="A269"/>
      <c r="B269" t="s">
        <v>43</v>
      </c>
      <c r="C269" t="s">
        <v>43</v>
      </c>
      <c r="D269" t="s">
        <v>33</v>
      </c>
      <c r="E269" t="s">
        <v>34</v>
      </c>
      <c r="F269" t="str">
        <f>"0000598"</f>
        <v>0000598</v>
      </c>
      <c r="G269">
        <v>1</v>
      </c>
      <c r="H269" t="str">
        <f>"00000000"</f>
        <v>00000000</v>
      </c>
      <c r="I269" t="s">
        <v>35</v>
      </c>
      <c r="J269"/>
      <c r="K269">
        <v>22.63</v>
      </c>
      <c r="L269">
        <v>0.0</v>
      </c>
      <c r="M269"/>
      <c r="N269"/>
      <c r="O269">
        <v>4.07</v>
      </c>
      <c r="P269">
        <v>0.2</v>
      </c>
      <c r="Q269">
        <v>26.91</v>
      </c>
      <c r="R269"/>
      <c r="S269"/>
      <c r="T269"/>
      <c r="U269"/>
      <c r="V269"/>
      <c r="W269">
        <v>18</v>
      </c>
    </row>
    <row r="270" spans="1:23">
      <c r="A270"/>
      <c r="B270" t="s">
        <v>43</v>
      </c>
      <c r="C270" t="s">
        <v>43</v>
      </c>
      <c r="D270" t="s">
        <v>33</v>
      </c>
      <c r="E270" t="s">
        <v>34</v>
      </c>
      <c r="F270" t="str">
        <f>"0000599"</f>
        <v>0000599</v>
      </c>
      <c r="G270">
        <v>1</v>
      </c>
      <c r="H270" t="str">
        <f>"00000000"</f>
        <v>00000000</v>
      </c>
      <c r="I270" t="s">
        <v>35</v>
      </c>
      <c r="J270"/>
      <c r="K270">
        <v>31.3</v>
      </c>
      <c r="L270">
        <v>0.0</v>
      </c>
      <c r="M270"/>
      <c r="N270"/>
      <c r="O270">
        <v>5.63</v>
      </c>
      <c r="P270">
        <v>0.2</v>
      </c>
      <c r="Q270">
        <v>37.13</v>
      </c>
      <c r="R270"/>
      <c r="S270"/>
      <c r="T270"/>
      <c r="U270"/>
      <c r="V270"/>
      <c r="W270">
        <v>18</v>
      </c>
    </row>
    <row r="271" spans="1:23">
      <c r="A271"/>
      <c r="B271" t="s">
        <v>43</v>
      </c>
      <c r="C271" t="s">
        <v>43</v>
      </c>
      <c r="D271" t="s">
        <v>33</v>
      </c>
      <c r="E271" t="s">
        <v>34</v>
      </c>
      <c r="F271" t="str">
        <f>"0000600"</f>
        <v>0000600</v>
      </c>
      <c r="G271">
        <v>1</v>
      </c>
      <c r="H271" t="str">
        <f>"00000000"</f>
        <v>00000000</v>
      </c>
      <c r="I271" t="s">
        <v>35</v>
      </c>
      <c r="J271"/>
      <c r="K271">
        <v>8.97</v>
      </c>
      <c r="L271">
        <v>0.0</v>
      </c>
      <c r="M271"/>
      <c r="N271"/>
      <c r="O271">
        <v>1.61</v>
      </c>
      <c r="P271">
        <v>0.0</v>
      </c>
      <c r="Q271">
        <v>10.58</v>
      </c>
      <c r="R271"/>
      <c r="S271"/>
      <c r="T271"/>
      <c r="U271"/>
      <c r="V271"/>
      <c r="W271">
        <v>18</v>
      </c>
    </row>
    <row r="272" spans="1:23">
      <c r="A272"/>
      <c r="B272" t="s">
        <v>43</v>
      </c>
      <c r="C272" t="s">
        <v>43</v>
      </c>
      <c r="D272" t="s">
        <v>33</v>
      </c>
      <c r="E272" t="s">
        <v>34</v>
      </c>
      <c r="F272" t="str">
        <f>"0000601"</f>
        <v>0000601</v>
      </c>
      <c r="G272">
        <v>1</v>
      </c>
      <c r="H272" t="str">
        <f>"00000000"</f>
        <v>00000000</v>
      </c>
      <c r="I272" t="s">
        <v>35</v>
      </c>
      <c r="J272"/>
      <c r="K272">
        <v>2.2</v>
      </c>
      <c r="L272">
        <v>0.0</v>
      </c>
      <c r="M272"/>
      <c r="N272"/>
      <c r="O272">
        <v>0.4</v>
      </c>
      <c r="P272">
        <v>0.0</v>
      </c>
      <c r="Q272">
        <v>2.6</v>
      </c>
      <c r="R272"/>
      <c r="S272"/>
      <c r="T272"/>
      <c r="U272"/>
      <c r="V272"/>
      <c r="W272">
        <v>18</v>
      </c>
    </row>
    <row r="273" spans="1:23">
      <c r="A273"/>
      <c r="B273" t="s">
        <v>43</v>
      </c>
      <c r="C273" t="s">
        <v>43</v>
      </c>
      <c r="D273" t="s">
        <v>33</v>
      </c>
      <c r="E273" t="s">
        <v>34</v>
      </c>
      <c r="F273" t="str">
        <f>"0000602"</f>
        <v>0000602</v>
      </c>
      <c r="G273">
        <v>1</v>
      </c>
      <c r="H273" t="str">
        <f>"00000000"</f>
        <v>00000000</v>
      </c>
      <c r="I273" t="s">
        <v>35</v>
      </c>
      <c r="J273"/>
      <c r="K273">
        <v>7.8</v>
      </c>
      <c r="L273">
        <v>0.0</v>
      </c>
      <c r="M273"/>
      <c r="N273"/>
      <c r="O273">
        <v>1.4</v>
      </c>
      <c r="P273">
        <v>0.0</v>
      </c>
      <c r="Q273">
        <v>9.2</v>
      </c>
      <c r="R273"/>
      <c r="S273"/>
      <c r="T273"/>
      <c r="U273"/>
      <c r="V273"/>
      <c r="W273">
        <v>18</v>
      </c>
    </row>
    <row r="274" spans="1:23">
      <c r="A274"/>
      <c r="B274" t="s">
        <v>45</v>
      </c>
      <c r="C274" t="s">
        <v>45</v>
      </c>
      <c r="D274" t="s">
        <v>33</v>
      </c>
      <c r="E274" t="s">
        <v>34</v>
      </c>
      <c r="F274" t="str">
        <f>"0000618"</f>
        <v>0000618</v>
      </c>
      <c r="G274">
        <v>1</v>
      </c>
      <c r="H274" t="str">
        <f>"00000000"</f>
        <v>00000000</v>
      </c>
      <c r="I274" t="s">
        <v>35</v>
      </c>
      <c r="J274"/>
      <c r="K274">
        <v>10.72</v>
      </c>
      <c r="L274">
        <v>0.0</v>
      </c>
      <c r="M274"/>
      <c r="N274"/>
      <c r="O274">
        <v>1.93</v>
      </c>
      <c r="P274">
        <v>0.0</v>
      </c>
      <c r="Q274">
        <v>12.65</v>
      </c>
      <c r="R274"/>
      <c r="S274"/>
      <c r="T274"/>
      <c r="U274"/>
      <c r="V274"/>
      <c r="W274">
        <v>18</v>
      </c>
    </row>
    <row r="275" spans="1:23">
      <c r="A275"/>
      <c r="B275" t="s">
        <v>45</v>
      </c>
      <c r="C275" t="s">
        <v>45</v>
      </c>
      <c r="D275" t="s">
        <v>33</v>
      </c>
      <c r="E275" t="s">
        <v>34</v>
      </c>
      <c r="F275" t="str">
        <f>"0000603"</f>
        <v>0000603</v>
      </c>
      <c r="G275">
        <v>1</v>
      </c>
      <c r="H275" t="str">
        <f>"00000000"</f>
        <v>00000000</v>
      </c>
      <c r="I275" t="s">
        <v>35</v>
      </c>
      <c r="J275"/>
      <c r="K275">
        <v>5.85</v>
      </c>
      <c r="L275">
        <v>0.0</v>
      </c>
      <c r="M275"/>
      <c r="N275"/>
      <c r="O275">
        <v>1.05</v>
      </c>
      <c r="P275">
        <v>0.0</v>
      </c>
      <c r="Q275">
        <v>6.9</v>
      </c>
      <c r="R275"/>
      <c r="S275"/>
      <c r="T275"/>
      <c r="U275"/>
      <c r="V275"/>
      <c r="W275">
        <v>18</v>
      </c>
    </row>
    <row r="276" spans="1:23">
      <c r="A276"/>
      <c r="B276" t="s">
        <v>45</v>
      </c>
      <c r="C276" t="s">
        <v>45</v>
      </c>
      <c r="D276" t="s">
        <v>33</v>
      </c>
      <c r="E276" t="s">
        <v>34</v>
      </c>
      <c r="F276" t="str">
        <f>"0000604"</f>
        <v>0000604</v>
      </c>
      <c r="G276">
        <v>1</v>
      </c>
      <c r="H276" t="str">
        <f>"00000000"</f>
        <v>00000000</v>
      </c>
      <c r="I276" t="s">
        <v>35</v>
      </c>
      <c r="J276"/>
      <c r="K276">
        <v>6.41</v>
      </c>
      <c r="L276">
        <v>0.0</v>
      </c>
      <c r="M276"/>
      <c r="N276"/>
      <c r="O276">
        <v>1.15</v>
      </c>
      <c r="P276">
        <v>0.2</v>
      </c>
      <c r="Q276">
        <v>7.77</v>
      </c>
      <c r="R276"/>
      <c r="S276"/>
      <c r="T276"/>
      <c r="U276"/>
      <c r="V276"/>
      <c r="W276">
        <v>18</v>
      </c>
    </row>
    <row r="277" spans="1:23">
      <c r="A277"/>
      <c r="B277" t="s">
        <v>45</v>
      </c>
      <c r="C277" t="s">
        <v>45</v>
      </c>
      <c r="D277" t="s">
        <v>33</v>
      </c>
      <c r="E277" t="s">
        <v>34</v>
      </c>
      <c r="F277" t="str">
        <f>"0000605"</f>
        <v>0000605</v>
      </c>
      <c r="G277">
        <v>1</v>
      </c>
      <c r="H277" t="str">
        <f>"00000000"</f>
        <v>00000000</v>
      </c>
      <c r="I277" t="s">
        <v>35</v>
      </c>
      <c r="J277"/>
      <c r="K277">
        <v>10.37</v>
      </c>
      <c r="L277">
        <v>0.0</v>
      </c>
      <c r="M277"/>
      <c r="N277"/>
      <c r="O277">
        <v>1.87</v>
      </c>
      <c r="P277">
        <v>0.2</v>
      </c>
      <c r="Q277">
        <v>12.44</v>
      </c>
      <c r="R277"/>
      <c r="S277"/>
      <c r="T277"/>
      <c r="U277"/>
      <c r="V277"/>
      <c r="W277">
        <v>18</v>
      </c>
    </row>
    <row r="278" spans="1:23">
      <c r="A278"/>
      <c r="B278" t="s">
        <v>45</v>
      </c>
      <c r="C278" t="s">
        <v>45</v>
      </c>
      <c r="D278" t="s">
        <v>33</v>
      </c>
      <c r="E278" t="s">
        <v>34</v>
      </c>
      <c r="F278" t="str">
        <f>"0000606"</f>
        <v>0000606</v>
      </c>
      <c r="G278">
        <v>1</v>
      </c>
      <c r="H278" t="str">
        <f>"00000000"</f>
        <v>00000000</v>
      </c>
      <c r="I278" t="s">
        <v>35</v>
      </c>
      <c r="J278"/>
      <c r="K278">
        <v>1.27</v>
      </c>
      <c r="L278">
        <v>0.0</v>
      </c>
      <c r="M278"/>
      <c r="N278"/>
      <c r="O278">
        <v>0.23</v>
      </c>
      <c r="P278">
        <v>0.0</v>
      </c>
      <c r="Q278">
        <v>1.5</v>
      </c>
      <c r="R278"/>
      <c r="S278"/>
      <c r="T278"/>
      <c r="U278"/>
      <c r="V278"/>
      <c r="W278">
        <v>18</v>
      </c>
    </row>
    <row r="279" spans="1:23">
      <c r="A279"/>
      <c r="B279" t="s">
        <v>45</v>
      </c>
      <c r="C279" t="s">
        <v>45</v>
      </c>
      <c r="D279" t="s">
        <v>33</v>
      </c>
      <c r="E279" t="s">
        <v>34</v>
      </c>
      <c r="F279" t="str">
        <f>"0000607"</f>
        <v>0000607</v>
      </c>
      <c r="G279">
        <v>1</v>
      </c>
      <c r="H279" t="str">
        <f>"00000000"</f>
        <v>00000000</v>
      </c>
      <c r="I279" t="s">
        <v>35</v>
      </c>
      <c r="J279"/>
      <c r="K279">
        <v>11.53</v>
      </c>
      <c r="L279">
        <v>0.0</v>
      </c>
      <c r="M279"/>
      <c r="N279"/>
      <c r="O279">
        <v>2.07</v>
      </c>
      <c r="P279">
        <v>0.2</v>
      </c>
      <c r="Q279">
        <v>13.8</v>
      </c>
      <c r="R279"/>
      <c r="S279"/>
      <c r="T279"/>
      <c r="U279"/>
      <c r="V279"/>
      <c r="W279">
        <v>18</v>
      </c>
    </row>
    <row r="280" spans="1:23">
      <c r="A280"/>
      <c r="B280" t="s">
        <v>45</v>
      </c>
      <c r="C280" t="s">
        <v>45</v>
      </c>
      <c r="D280" t="s">
        <v>33</v>
      </c>
      <c r="E280" t="s">
        <v>34</v>
      </c>
      <c r="F280" t="str">
        <f>"0000608"</f>
        <v>0000608</v>
      </c>
      <c r="G280">
        <v>1</v>
      </c>
      <c r="H280" t="str">
        <f>"00000000"</f>
        <v>00000000</v>
      </c>
      <c r="I280" t="s">
        <v>35</v>
      </c>
      <c r="J280"/>
      <c r="K280">
        <v>0.69</v>
      </c>
      <c r="L280">
        <v>0.0</v>
      </c>
      <c r="M280"/>
      <c r="N280"/>
      <c r="O280">
        <v>0.13</v>
      </c>
      <c r="P280">
        <v>0.0</v>
      </c>
      <c r="Q280">
        <v>0.82</v>
      </c>
      <c r="R280"/>
      <c r="S280"/>
      <c r="T280"/>
      <c r="U280"/>
      <c r="V280"/>
      <c r="W280">
        <v>18</v>
      </c>
    </row>
    <row r="281" spans="1:23">
      <c r="A281"/>
      <c r="B281" t="s">
        <v>45</v>
      </c>
      <c r="C281" t="s">
        <v>45</v>
      </c>
      <c r="D281" t="s">
        <v>33</v>
      </c>
      <c r="E281" t="s">
        <v>34</v>
      </c>
      <c r="F281" t="str">
        <f>"0000609"</f>
        <v>0000609</v>
      </c>
      <c r="G281">
        <v>1</v>
      </c>
      <c r="H281" t="str">
        <f>"00000000"</f>
        <v>00000000</v>
      </c>
      <c r="I281" t="s">
        <v>35</v>
      </c>
      <c r="J281"/>
      <c r="K281">
        <v>1.03</v>
      </c>
      <c r="L281">
        <v>0.0</v>
      </c>
      <c r="M281"/>
      <c r="N281"/>
      <c r="O281">
        <v>0.19</v>
      </c>
      <c r="P281">
        <v>0.0</v>
      </c>
      <c r="Q281">
        <v>1.22</v>
      </c>
      <c r="R281"/>
      <c r="S281"/>
      <c r="T281"/>
      <c r="U281"/>
      <c r="V281"/>
      <c r="W281">
        <v>18</v>
      </c>
    </row>
    <row r="282" spans="1:23">
      <c r="A282"/>
      <c r="B282" t="s">
        <v>45</v>
      </c>
      <c r="C282" t="s">
        <v>45</v>
      </c>
      <c r="D282" t="s">
        <v>33</v>
      </c>
      <c r="E282" t="s">
        <v>34</v>
      </c>
      <c r="F282" t="str">
        <f>"0000610"</f>
        <v>0000610</v>
      </c>
      <c r="G282">
        <v>1</v>
      </c>
      <c r="H282" t="str">
        <f>"00000000"</f>
        <v>00000000</v>
      </c>
      <c r="I282" t="s">
        <v>35</v>
      </c>
      <c r="J282"/>
      <c r="K282">
        <v>5.73</v>
      </c>
      <c r="L282">
        <v>0.0</v>
      </c>
      <c r="M282"/>
      <c r="N282"/>
      <c r="O282">
        <v>1.03</v>
      </c>
      <c r="P282">
        <v>0.2</v>
      </c>
      <c r="Q282">
        <v>6.96</v>
      </c>
      <c r="R282"/>
      <c r="S282"/>
      <c r="T282"/>
      <c r="U282"/>
      <c r="V282"/>
      <c r="W282">
        <v>18</v>
      </c>
    </row>
    <row r="283" spans="1:23">
      <c r="A283"/>
      <c r="B283" t="s">
        <v>45</v>
      </c>
      <c r="C283" t="s">
        <v>45</v>
      </c>
      <c r="D283" t="s">
        <v>33</v>
      </c>
      <c r="E283" t="s">
        <v>34</v>
      </c>
      <c r="F283" t="str">
        <f>"0000611"</f>
        <v>0000611</v>
      </c>
      <c r="G283">
        <v>1</v>
      </c>
      <c r="H283" t="str">
        <f>"00000000"</f>
        <v>00000000</v>
      </c>
      <c r="I283" t="s">
        <v>35</v>
      </c>
      <c r="J283"/>
      <c r="K283">
        <v>70.2</v>
      </c>
      <c r="L283">
        <v>0.0</v>
      </c>
      <c r="M283"/>
      <c r="N283"/>
      <c r="O283">
        <v>12.64</v>
      </c>
      <c r="P283">
        <v>0.4</v>
      </c>
      <c r="Q283">
        <v>83.23</v>
      </c>
      <c r="R283"/>
      <c r="S283"/>
      <c r="T283"/>
      <c r="U283"/>
      <c r="V283"/>
      <c r="W283">
        <v>18</v>
      </c>
    </row>
    <row r="284" spans="1:23">
      <c r="A284"/>
      <c r="B284" t="s">
        <v>45</v>
      </c>
      <c r="C284" t="s">
        <v>45</v>
      </c>
      <c r="D284" t="s">
        <v>33</v>
      </c>
      <c r="E284" t="s">
        <v>34</v>
      </c>
      <c r="F284" t="str">
        <f>"0000612"</f>
        <v>0000612</v>
      </c>
      <c r="G284">
        <v>1</v>
      </c>
      <c r="H284" t="str">
        <f>"00000000"</f>
        <v>00000000</v>
      </c>
      <c r="I284" t="s">
        <v>35</v>
      </c>
      <c r="J284"/>
      <c r="K284">
        <v>1.69</v>
      </c>
      <c r="L284">
        <v>0.0</v>
      </c>
      <c r="M284"/>
      <c r="N284"/>
      <c r="O284">
        <v>0.31</v>
      </c>
      <c r="P284">
        <v>0.0</v>
      </c>
      <c r="Q284">
        <v>2.0</v>
      </c>
      <c r="R284"/>
      <c r="S284"/>
      <c r="T284"/>
      <c r="U284"/>
      <c r="V284"/>
      <c r="W284">
        <v>18</v>
      </c>
    </row>
    <row r="285" spans="1:23">
      <c r="A285"/>
      <c r="B285" t="s">
        <v>45</v>
      </c>
      <c r="C285" t="s">
        <v>45</v>
      </c>
      <c r="D285" t="s">
        <v>33</v>
      </c>
      <c r="E285" t="s">
        <v>34</v>
      </c>
      <c r="F285" t="str">
        <f>"0000613"</f>
        <v>0000613</v>
      </c>
      <c r="G285">
        <v>1</v>
      </c>
      <c r="H285" t="str">
        <f>"00000000"</f>
        <v>00000000</v>
      </c>
      <c r="I285" t="s">
        <v>35</v>
      </c>
      <c r="J285"/>
      <c r="K285">
        <v>52.63</v>
      </c>
      <c r="L285">
        <v>0.0</v>
      </c>
      <c r="M285"/>
      <c r="N285"/>
      <c r="O285">
        <v>9.47</v>
      </c>
      <c r="P285">
        <v>0.0</v>
      </c>
      <c r="Q285">
        <v>62.1</v>
      </c>
      <c r="R285"/>
      <c r="S285"/>
      <c r="T285"/>
      <c r="U285"/>
      <c r="V285"/>
      <c r="W285">
        <v>18</v>
      </c>
    </row>
    <row r="286" spans="1:23">
      <c r="A286"/>
      <c r="B286" t="s">
        <v>45</v>
      </c>
      <c r="C286" t="s">
        <v>45</v>
      </c>
      <c r="D286" t="s">
        <v>33</v>
      </c>
      <c r="E286" t="s">
        <v>34</v>
      </c>
      <c r="F286" t="str">
        <f>"0000614"</f>
        <v>0000614</v>
      </c>
      <c r="G286">
        <v>1</v>
      </c>
      <c r="H286" t="str">
        <f>"00000000"</f>
        <v>00000000</v>
      </c>
      <c r="I286" t="s">
        <v>35</v>
      </c>
      <c r="J286"/>
      <c r="K286">
        <v>15.25</v>
      </c>
      <c r="L286">
        <v>0.0</v>
      </c>
      <c r="M286"/>
      <c r="N286"/>
      <c r="O286">
        <v>2.75</v>
      </c>
      <c r="P286">
        <v>0.0</v>
      </c>
      <c r="Q286">
        <v>18.0</v>
      </c>
      <c r="R286"/>
      <c r="S286"/>
      <c r="T286"/>
      <c r="U286"/>
      <c r="V286"/>
      <c r="W286">
        <v>18</v>
      </c>
    </row>
    <row r="287" spans="1:23">
      <c r="A287"/>
      <c r="B287" t="s">
        <v>45</v>
      </c>
      <c r="C287" t="s">
        <v>45</v>
      </c>
      <c r="D287" t="s">
        <v>33</v>
      </c>
      <c r="E287" t="s">
        <v>34</v>
      </c>
      <c r="F287" t="str">
        <f>"0000615"</f>
        <v>0000615</v>
      </c>
      <c r="G287">
        <v>1</v>
      </c>
      <c r="H287" t="str">
        <f>"00000000"</f>
        <v>00000000</v>
      </c>
      <c r="I287" t="s">
        <v>35</v>
      </c>
      <c r="J287"/>
      <c r="K287">
        <v>20.58</v>
      </c>
      <c r="L287">
        <v>0.0</v>
      </c>
      <c r="M287"/>
      <c r="N287"/>
      <c r="O287">
        <v>3.71</v>
      </c>
      <c r="P287">
        <v>0.2</v>
      </c>
      <c r="Q287">
        <v>24.49</v>
      </c>
      <c r="R287"/>
      <c r="S287"/>
      <c r="T287"/>
      <c r="U287"/>
      <c r="V287"/>
      <c r="W287">
        <v>18</v>
      </c>
    </row>
    <row r="288" spans="1:23">
      <c r="A288"/>
      <c r="B288" t="s">
        <v>45</v>
      </c>
      <c r="C288" t="s">
        <v>45</v>
      </c>
      <c r="D288" t="s">
        <v>33</v>
      </c>
      <c r="E288" t="s">
        <v>34</v>
      </c>
      <c r="F288" t="str">
        <f>"0000616"</f>
        <v>0000616</v>
      </c>
      <c r="G288">
        <v>1</v>
      </c>
      <c r="H288" t="str">
        <f>"00000000"</f>
        <v>00000000</v>
      </c>
      <c r="I288" t="s">
        <v>35</v>
      </c>
      <c r="J288"/>
      <c r="K288">
        <v>0.08</v>
      </c>
      <c r="L288">
        <v>0.0</v>
      </c>
      <c r="M288"/>
      <c r="N288"/>
      <c r="O288">
        <v>0.02</v>
      </c>
      <c r="P288">
        <v>0.2</v>
      </c>
      <c r="Q288">
        <v>0.3</v>
      </c>
      <c r="R288"/>
      <c r="S288"/>
      <c r="T288"/>
      <c r="U288"/>
      <c r="V288"/>
      <c r="W288">
        <v>18</v>
      </c>
    </row>
    <row r="289" spans="1:23">
      <c r="A289"/>
      <c r="B289" t="s">
        <v>45</v>
      </c>
      <c r="C289" t="s">
        <v>45</v>
      </c>
      <c r="D289" t="s">
        <v>33</v>
      </c>
      <c r="E289" t="s">
        <v>34</v>
      </c>
      <c r="F289" t="str">
        <f>"0000617"</f>
        <v>0000617</v>
      </c>
      <c r="G289">
        <v>1</v>
      </c>
      <c r="H289" t="str">
        <f>"00000000"</f>
        <v>00000000</v>
      </c>
      <c r="I289" t="s">
        <v>35</v>
      </c>
      <c r="J289"/>
      <c r="K289">
        <v>39.45</v>
      </c>
      <c r="L289">
        <v>0.0</v>
      </c>
      <c r="M289"/>
      <c r="N289"/>
      <c r="O289">
        <v>7.1</v>
      </c>
      <c r="P289">
        <v>0.0</v>
      </c>
      <c r="Q289">
        <v>46.55</v>
      </c>
      <c r="R289"/>
      <c r="S289"/>
      <c r="T289"/>
      <c r="U289"/>
      <c r="V289"/>
      <c r="W289">
        <v>18</v>
      </c>
    </row>
    <row r="290" spans="1:23">
      <c r="A290"/>
      <c r="B290" t="s">
        <v>45</v>
      </c>
      <c r="C290" t="s">
        <v>45</v>
      </c>
      <c r="D290" t="s">
        <v>33</v>
      </c>
      <c r="E290" t="s">
        <v>34</v>
      </c>
      <c r="F290" t="str">
        <f>"0000618"</f>
        <v>0000618</v>
      </c>
      <c r="G290">
        <v>1</v>
      </c>
      <c r="H290" t="str">
        <f>"00000000"</f>
        <v>00000000</v>
      </c>
      <c r="I290" t="s">
        <v>35</v>
      </c>
      <c r="J290"/>
      <c r="K290">
        <v>10.72</v>
      </c>
      <c r="L290">
        <v>0.0</v>
      </c>
      <c r="M290"/>
      <c r="N290"/>
      <c r="O290">
        <v>1.93</v>
      </c>
      <c r="P290">
        <v>0.0</v>
      </c>
      <c r="Q290">
        <v>12.65</v>
      </c>
      <c r="R290"/>
      <c r="S290"/>
      <c r="T290"/>
      <c r="U290"/>
      <c r="V290"/>
      <c r="W290">
        <v>18</v>
      </c>
    </row>
    <row r="291" spans="1:23">
      <c r="A291"/>
      <c r="B291" t="s">
        <v>45</v>
      </c>
      <c r="C291" t="s">
        <v>45</v>
      </c>
      <c r="D291" t="s">
        <v>33</v>
      </c>
      <c r="E291" t="s">
        <v>34</v>
      </c>
      <c r="F291" t="str">
        <f>"0000620"</f>
        <v>0000620</v>
      </c>
      <c r="G291">
        <v>1</v>
      </c>
      <c r="H291" t="str">
        <f>"00000000"</f>
        <v>00000000</v>
      </c>
      <c r="I291" t="s">
        <v>35</v>
      </c>
      <c r="J291"/>
      <c r="K291">
        <v>0.08</v>
      </c>
      <c r="L291">
        <v>0.0</v>
      </c>
      <c r="M291"/>
      <c r="N291"/>
      <c r="O291">
        <v>0.02</v>
      </c>
      <c r="P291">
        <v>0.2</v>
      </c>
      <c r="Q291">
        <v>0.3</v>
      </c>
      <c r="R291"/>
      <c r="S291"/>
      <c r="T291"/>
      <c r="U291"/>
      <c r="V291"/>
      <c r="W291">
        <v>18</v>
      </c>
    </row>
    <row r="292" spans="1:23">
      <c r="A292"/>
      <c r="B292" t="s">
        <v>45</v>
      </c>
      <c r="C292" t="s">
        <v>45</v>
      </c>
      <c r="D292" t="s">
        <v>33</v>
      </c>
      <c r="E292" t="s">
        <v>34</v>
      </c>
      <c r="F292" t="str">
        <f>"0000621"</f>
        <v>0000621</v>
      </c>
      <c r="G292">
        <v>1</v>
      </c>
      <c r="H292" t="str">
        <f>"00000000"</f>
        <v>00000000</v>
      </c>
      <c r="I292" t="s">
        <v>35</v>
      </c>
      <c r="J292"/>
      <c r="K292">
        <v>3.46</v>
      </c>
      <c r="L292">
        <v>0.0</v>
      </c>
      <c r="M292"/>
      <c r="N292"/>
      <c r="O292">
        <v>0.62</v>
      </c>
      <c r="P292">
        <v>0.0</v>
      </c>
      <c r="Q292">
        <v>4.08</v>
      </c>
      <c r="R292"/>
      <c r="S292"/>
      <c r="T292"/>
      <c r="U292"/>
      <c r="V292"/>
      <c r="W292">
        <v>18</v>
      </c>
    </row>
    <row r="293" spans="1:23">
      <c r="A293"/>
      <c r="B293" t="s">
        <v>45</v>
      </c>
      <c r="C293" t="s">
        <v>45</v>
      </c>
      <c r="D293" t="s">
        <v>33</v>
      </c>
      <c r="E293" t="s">
        <v>34</v>
      </c>
      <c r="F293" t="str">
        <f>"0000622"</f>
        <v>0000622</v>
      </c>
      <c r="G293">
        <v>1</v>
      </c>
      <c r="H293" t="str">
        <f>"00000000"</f>
        <v>00000000</v>
      </c>
      <c r="I293" t="s">
        <v>35</v>
      </c>
      <c r="J293"/>
      <c r="K293">
        <v>3.81</v>
      </c>
      <c r="L293">
        <v>0.0</v>
      </c>
      <c r="M293"/>
      <c r="N293"/>
      <c r="O293">
        <v>0.69</v>
      </c>
      <c r="P293">
        <v>0.0</v>
      </c>
      <c r="Q293">
        <v>4.5</v>
      </c>
      <c r="R293"/>
      <c r="S293"/>
      <c r="T293"/>
      <c r="U293"/>
      <c r="V293"/>
      <c r="W293">
        <v>18</v>
      </c>
    </row>
    <row r="294" spans="1:23">
      <c r="A294"/>
      <c r="B294" t="s">
        <v>45</v>
      </c>
      <c r="C294" t="s">
        <v>45</v>
      </c>
      <c r="D294" t="s">
        <v>33</v>
      </c>
      <c r="E294" t="s">
        <v>34</v>
      </c>
      <c r="F294" t="str">
        <f>"0000623"</f>
        <v>0000623</v>
      </c>
      <c r="G294">
        <v>1</v>
      </c>
      <c r="H294" t="str">
        <f>"00000000"</f>
        <v>00000000</v>
      </c>
      <c r="I294" t="s">
        <v>35</v>
      </c>
      <c r="J294"/>
      <c r="K294">
        <v>1.86</v>
      </c>
      <c r="L294">
        <v>0.0</v>
      </c>
      <c r="M294"/>
      <c r="N294"/>
      <c r="O294">
        <v>0.34</v>
      </c>
      <c r="P294">
        <v>0.0</v>
      </c>
      <c r="Q294">
        <v>2.2</v>
      </c>
      <c r="R294"/>
      <c r="S294"/>
      <c r="T294"/>
      <c r="U294"/>
      <c r="V294"/>
      <c r="W294">
        <v>18</v>
      </c>
    </row>
    <row r="295" spans="1:23">
      <c r="A295"/>
      <c r="B295" t="s">
        <v>45</v>
      </c>
      <c r="C295" t="s">
        <v>45</v>
      </c>
      <c r="D295" t="s">
        <v>33</v>
      </c>
      <c r="E295" t="s">
        <v>34</v>
      </c>
      <c r="F295" t="str">
        <f>"0000624"</f>
        <v>0000624</v>
      </c>
      <c r="G295">
        <v>1</v>
      </c>
      <c r="H295" t="str">
        <f>"00000000"</f>
        <v>00000000</v>
      </c>
      <c r="I295" t="s">
        <v>35</v>
      </c>
      <c r="J295"/>
      <c r="K295">
        <v>27.8</v>
      </c>
      <c r="L295">
        <v>0.0</v>
      </c>
      <c r="M295"/>
      <c r="N295"/>
      <c r="O295">
        <v>5.0</v>
      </c>
      <c r="P295">
        <v>0.2</v>
      </c>
      <c r="Q295">
        <v>33.0</v>
      </c>
      <c r="R295"/>
      <c r="S295"/>
      <c r="T295"/>
      <c r="U295"/>
      <c r="V295"/>
      <c r="W295">
        <v>18</v>
      </c>
    </row>
    <row r="296" spans="1:23">
      <c r="A296"/>
      <c r="B296" t="s">
        <v>45</v>
      </c>
      <c r="C296" t="s">
        <v>45</v>
      </c>
      <c r="D296" t="s">
        <v>33</v>
      </c>
      <c r="E296" t="s">
        <v>34</v>
      </c>
      <c r="F296" t="str">
        <f>"0000625"</f>
        <v>0000625</v>
      </c>
      <c r="G296">
        <v>1</v>
      </c>
      <c r="H296" t="str">
        <f>"00000000"</f>
        <v>00000000</v>
      </c>
      <c r="I296" t="s">
        <v>35</v>
      </c>
      <c r="J296"/>
      <c r="K296">
        <v>3.39</v>
      </c>
      <c r="L296">
        <v>0.0</v>
      </c>
      <c r="M296"/>
      <c r="N296"/>
      <c r="O296">
        <v>0.61</v>
      </c>
      <c r="P296">
        <v>0.0</v>
      </c>
      <c r="Q296">
        <v>4.0</v>
      </c>
      <c r="R296"/>
      <c r="S296"/>
      <c r="T296"/>
      <c r="U296"/>
      <c r="V296"/>
      <c r="W296">
        <v>18</v>
      </c>
    </row>
    <row r="297" spans="1:23">
      <c r="A297"/>
      <c r="B297" t="s">
        <v>45</v>
      </c>
      <c r="C297" t="s">
        <v>45</v>
      </c>
      <c r="D297" t="s">
        <v>33</v>
      </c>
      <c r="E297" t="s">
        <v>34</v>
      </c>
      <c r="F297" t="str">
        <f>"0000626"</f>
        <v>0000626</v>
      </c>
      <c r="G297">
        <v>1</v>
      </c>
      <c r="H297" t="str">
        <f>"00000000"</f>
        <v>00000000</v>
      </c>
      <c r="I297" t="s">
        <v>35</v>
      </c>
      <c r="J297"/>
      <c r="K297">
        <v>9.41</v>
      </c>
      <c r="L297">
        <v>0.0</v>
      </c>
      <c r="M297"/>
      <c r="N297"/>
      <c r="O297">
        <v>1.69</v>
      </c>
      <c r="P297">
        <v>0.2</v>
      </c>
      <c r="Q297">
        <v>11.3</v>
      </c>
      <c r="R297"/>
      <c r="S297"/>
      <c r="T297"/>
      <c r="U297"/>
      <c r="V297"/>
      <c r="W297">
        <v>18</v>
      </c>
    </row>
    <row r="298" spans="1:23">
      <c r="A298"/>
      <c r="B298" t="s">
        <v>45</v>
      </c>
      <c r="C298" t="s">
        <v>45</v>
      </c>
      <c r="D298" t="s">
        <v>33</v>
      </c>
      <c r="E298" t="s">
        <v>34</v>
      </c>
      <c r="F298" t="str">
        <f>"0000627"</f>
        <v>0000627</v>
      </c>
      <c r="G298">
        <v>1</v>
      </c>
      <c r="H298" t="str">
        <f>"00000000"</f>
        <v>00000000</v>
      </c>
      <c r="I298" t="s">
        <v>35</v>
      </c>
      <c r="J298"/>
      <c r="K298">
        <v>45.56</v>
      </c>
      <c r="L298">
        <v>0.0</v>
      </c>
      <c r="M298"/>
      <c r="N298"/>
      <c r="O298">
        <v>8.2</v>
      </c>
      <c r="P298">
        <v>0.0</v>
      </c>
      <c r="Q298">
        <v>53.75</v>
      </c>
      <c r="R298"/>
      <c r="S298"/>
      <c r="T298"/>
      <c r="U298"/>
      <c r="V298"/>
      <c r="W298">
        <v>18</v>
      </c>
    </row>
    <row r="299" spans="1:23">
      <c r="A299"/>
      <c r="B299" t="s">
        <v>45</v>
      </c>
      <c r="C299" t="s">
        <v>45</v>
      </c>
      <c r="D299" t="s">
        <v>33</v>
      </c>
      <c r="E299" t="s">
        <v>34</v>
      </c>
      <c r="F299" t="str">
        <f>"0000628"</f>
        <v>0000628</v>
      </c>
      <c r="G299">
        <v>1</v>
      </c>
      <c r="H299" t="str">
        <f>"00000000"</f>
        <v>00000000</v>
      </c>
      <c r="I299" t="s">
        <v>35</v>
      </c>
      <c r="J299"/>
      <c r="K299">
        <v>25.34</v>
      </c>
      <c r="L299">
        <v>0.0</v>
      </c>
      <c r="M299"/>
      <c r="N299"/>
      <c r="O299">
        <v>4.56</v>
      </c>
      <c r="P299">
        <v>0.2</v>
      </c>
      <c r="Q299">
        <v>30.1</v>
      </c>
      <c r="R299"/>
      <c r="S299"/>
      <c r="T299"/>
      <c r="U299"/>
      <c r="V299"/>
      <c r="W299">
        <v>18</v>
      </c>
    </row>
    <row r="300" spans="1:23">
      <c r="A300"/>
      <c r="B300" t="s">
        <v>45</v>
      </c>
      <c r="C300" t="s">
        <v>45</v>
      </c>
      <c r="D300" t="s">
        <v>33</v>
      </c>
      <c r="E300" t="s">
        <v>34</v>
      </c>
      <c r="F300" t="str">
        <f>"0000629"</f>
        <v>0000629</v>
      </c>
      <c r="G300">
        <v>1</v>
      </c>
      <c r="H300" t="str">
        <f>"00000000"</f>
        <v>00000000</v>
      </c>
      <c r="I300" t="s">
        <v>35</v>
      </c>
      <c r="J300"/>
      <c r="K300">
        <v>15.16</v>
      </c>
      <c r="L300">
        <v>0.0</v>
      </c>
      <c r="M300"/>
      <c r="N300"/>
      <c r="O300">
        <v>2.73</v>
      </c>
      <c r="P300">
        <v>0.2</v>
      </c>
      <c r="Q300">
        <v>18.09</v>
      </c>
      <c r="R300"/>
      <c r="S300"/>
      <c r="T300"/>
      <c r="U300"/>
      <c r="V300"/>
      <c r="W300">
        <v>18</v>
      </c>
    </row>
    <row r="301" spans="1:23">
      <c r="A301"/>
      <c r="B301" t="s">
        <v>45</v>
      </c>
      <c r="C301" t="s">
        <v>45</v>
      </c>
      <c r="D301" t="s">
        <v>33</v>
      </c>
      <c r="E301" t="s">
        <v>34</v>
      </c>
      <c r="F301" t="str">
        <f>"0000630"</f>
        <v>0000630</v>
      </c>
      <c r="G301">
        <v>1</v>
      </c>
      <c r="H301" t="str">
        <f>"00000000"</f>
        <v>00000000</v>
      </c>
      <c r="I301" t="s">
        <v>35</v>
      </c>
      <c r="J301"/>
      <c r="K301">
        <v>26.16</v>
      </c>
      <c r="L301">
        <v>0.0</v>
      </c>
      <c r="M301"/>
      <c r="N301"/>
      <c r="O301">
        <v>4.71</v>
      </c>
      <c r="P301">
        <v>0.2</v>
      </c>
      <c r="Q301">
        <v>31.07</v>
      </c>
      <c r="R301"/>
      <c r="S301"/>
      <c r="T301"/>
      <c r="U301"/>
      <c r="V301"/>
      <c r="W301">
        <v>18</v>
      </c>
    </row>
    <row r="302" spans="1:23">
      <c r="A302"/>
      <c r="B302" t="s">
        <v>45</v>
      </c>
      <c r="C302" t="s">
        <v>45</v>
      </c>
      <c r="D302" t="s">
        <v>33</v>
      </c>
      <c r="E302" t="s">
        <v>34</v>
      </c>
      <c r="F302" t="str">
        <f>"0000631"</f>
        <v>0000631</v>
      </c>
      <c r="G302">
        <v>1</v>
      </c>
      <c r="H302" t="str">
        <f>"00000000"</f>
        <v>00000000</v>
      </c>
      <c r="I302" t="s">
        <v>35</v>
      </c>
      <c r="J302"/>
      <c r="K302">
        <v>19.49</v>
      </c>
      <c r="L302">
        <v>0.0</v>
      </c>
      <c r="M302"/>
      <c r="N302"/>
      <c r="O302">
        <v>3.51</v>
      </c>
      <c r="P302">
        <v>0.2</v>
      </c>
      <c r="Q302">
        <v>23.2</v>
      </c>
      <c r="R302"/>
      <c r="S302"/>
      <c r="T302"/>
      <c r="U302"/>
      <c r="V302"/>
      <c r="W302">
        <v>18</v>
      </c>
    </row>
    <row r="303" spans="1:23">
      <c r="A303"/>
      <c r="B303" t="s">
        <v>45</v>
      </c>
      <c r="C303" t="s">
        <v>45</v>
      </c>
      <c r="D303" t="s">
        <v>33</v>
      </c>
      <c r="E303" t="s">
        <v>34</v>
      </c>
      <c r="F303" t="str">
        <f>"0000632"</f>
        <v>0000632</v>
      </c>
      <c r="G303">
        <v>1</v>
      </c>
      <c r="H303" t="str">
        <f>"00000000"</f>
        <v>00000000</v>
      </c>
      <c r="I303" t="s">
        <v>35</v>
      </c>
      <c r="J303"/>
      <c r="K303">
        <v>10.93</v>
      </c>
      <c r="L303">
        <v>0.0</v>
      </c>
      <c r="M303"/>
      <c r="N303"/>
      <c r="O303">
        <v>1.97</v>
      </c>
      <c r="P303">
        <v>0.0</v>
      </c>
      <c r="Q303">
        <v>12.9</v>
      </c>
      <c r="R303"/>
      <c r="S303"/>
      <c r="T303"/>
      <c r="U303"/>
      <c r="V303"/>
      <c r="W303">
        <v>18</v>
      </c>
    </row>
    <row r="304" spans="1:23">
      <c r="A304"/>
      <c r="B304" t="s">
        <v>45</v>
      </c>
      <c r="C304" t="s">
        <v>45</v>
      </c>
      <c r="D304" t="s">
        <v>33</v>
      </c>
      <c r="E304" t="s">
        <v>34</v>
      </c>
      <c r="F304" t="str">
        <f>"0000633"</f>
        <v>0000633</v>
      </c>
      <c r="G304">
        <v>1</v>
      </c>
      <c r="H304" t="str">
        <f>"00000000"</f>
        <v>00000000</v>
      </c>
      <c r="I304" t="s">
        <v>35</v>
      </c>
      <c r="J304"/>
      <c r="K304">
        <v>2.71</v>
      </c>
      <c r="L304">
        <v>0.0</v>
      </c>
      <c r="M304"/>
      <c r="N304"/>
      <c r="O304">
        <v>0.49</v>
      </c>
      <c r="P304">
        <v>0.0</v>
      </c>
      <c r="Q304">
        <v>3.2</v>
      </c>
      <c r="R304"/>
      <c r="S304"/>
      <c r="T304"/>
      <c r="U304"/>
      <c r="V304"/>
      <c r="W304">
        <v>18</v>
      </c>
    </row>
    <row r="305" spans="1:23">
      <c r="A305"/>
      <c r="B305" t="s">
        <v>45</v>
      </c>
      <c r="C305" t="s">
        <v>45</v>
      </c>
      <c r="D305" t="s">
        <v>33</v>
      </c>
      <c r="E305" t="s">
        <v>34</v>
      </c>
      <c r="F305" t="str">
        <f>"0000634"</f>
        <v>0000634</v>
      </c>
      <c r="G305">
        <v>1</v>
      </c>
      <c r="H305" t="str">
        <f>"00000000"</f>
        <v>00000000</v>
      </c>
      <c r="I305" t="s">
        <v>35</v>
      </c>
      <c r="J305"/>
      <c r="K305">
        <v>22.54</v>
      </c>
      <c r="L305">
        <v>0.0</v>
      </c>
      <c r="M305"/>
      <c r="N305"/>
      <c r="O305">
        <v>4.06</v>
      </c>
      <c r="P305">
        <v>0.2</v>
      </c>
      <c r="Q305">
        <v>26.8</v>
      </c>
      <c r="R305"/>
      <c r="S305"/>
      <c r="T305"/>
      <c r="U305"/>
      <c r="V305"/>
      <c r="W305">
        <v>18</v>
      </c>
    </row>
    <row r="306" spans="1:23">
      <c r="A306"/>
      <c r="B306" t="s">
        <v>45</v>
      </c>
      <c r="C306" t="s">
        <v>45</v>
      </c>
      <c r="D306" t="s">
        <v>33</v>
      </c>
      <c r="E306" t="s">
        <v>34</v>
      </c>
      <c r="F306" t="str">
        <f>"0000635"</f>
        <v>0000635</v>
      </c>
      <c r="G306">
        <v>1</v>
      </c>
      <c r="H306" t="str">
        <f>"00000000"</f>
        <v>00000000</v>
      </c>
      <c r="I306" t="s">
        <v>35</v>
      </c>
      <c r="J306"/>
      <c r="K306">
        <v>7.84</v>
      </c>
      <c r="L306">
        <v>0.0</v>
      </c>
      <c r="M306"/>
      <c r="N306"/>
      <c r="O306">
        <v>1.41</v>
      </c>
      <c r="P306">
        <v>0.2</v>
      </c>
      <c r="Q306">
        <v>9.45</v>
      </c>
      <c r="R306"/>
      <c r="S306"/>
      <c r="T306"/>
      <c r="U306"/>
      <c r="V306"/>
      <c r="W306">
        <v>18</v>
      </c>
    </row>
    <row r="307" spans="1:23">
      <c r="A307"/>
      <c r="B307" t="s">
        <v>45</v>
      </c>
      <c r="C307" t="s">
        <v>45</v>
      </c>
      <c r="D307" t="s">
        <v>33</v>
      </c>
      <c r="E307" t="s">
        <v>34</v>
      </c>
      <c r="F307" t="str">
        <f>"0000636"</f>
        <v>0000636</v>
      </c>
      <c r="G307">
        <v>1</v>
      </c>
      <c r="H307" t="str">
        <f>"00000000"</f>
        <v>00000000</v>
      </c>
      <c r="I307" t="s">
        <v>35</v>
      </c>
      <c r="J307"/>
      <c r="K307">
        <v>26.16</v>
      </c>
      <c r="L307">
        <v>0.0</v>
      </c>
      <c r="M307"/>
      <c r="N307"/>
      <c r="O307">
        <v>4.71</v>
      </c>
      <c r="P307">
        <v>0.0</v>
      </c>
      <c r="Q307">
        <v>30.86</v>
      </c>
      <c r="R307"/>
      <c r="S307"/>
      <c r="T307"/>
      <c r="U307"/>
      <c r="V307"/>
      <c r="W307">
        <v>18</v>
      </c>
    </row>
    <row r="308" spans="1:23">
      <c r="A308"/>
      <c r="B308" t="s">
        <v>45</v>
      </c>
      <c r="C308" t="s">
        <v>45</v>
      </c>
      <c r="D308" t="s">
        <v>33</v>
      </c>
      <c r="E308" t="s">
        <v>34</v>
      </c>
      <c r="F308" t="str">
        <f>"0000637"</f>
        <v>0000637</v>
      </c>
      <c r="G308">
        <v>1</v>
      </c>
      <c r="H308" t="str">
        <f>"00000000"</f>
        <v>00000000</v>
      </c>
      <c r="I308" t="s">
        <v>35</v>
      </c>
      <c r="J308"/>
      <c r="K308">
        <v>5.08</v>
      </c>
      <c r="L308">
        <v>0.0</v>
      </c>
      <c r="M308"/>
      <c r="N308"/>
      <c r="O308">
        <v>0.91</v>
      </c>
      <c r="P308">
        <v>0.2</v>
      </c>
      <c r="Q308">
        <v>6.2</v>
      </c>
      <c r="R308"/>
      <c r="S308"/>
      <c r="T308"/>
      <c r="U308"/>
      <c r="V308"/>
      <c r="W308">
        <v>18</v>
      </c>
    </row>
    <row r="309" spans="1:23">
      <c r="A309"/>
      <c r="B309" t="s">
        <v>45</v>
      </c>
      <c r="C309" t="s">
        <v>45</v>
      </c>
      <c r="D309" t="s">
        <v>33</v>
      </c>
      <c r="E309" t="s">
        <v>34</v>
      </c>
      <c r="F309" t="str">
        <f>"0000638"</f>
        <v>0000638</v>
      </c>
      <c r="G309">
        <v>1</v>
      </c>
      <c r="H309" t="str">
        <f>"00000000"</f>
        <v>00000000</v>
      </c>
      <c r="I309" t="s">
        <v>35</v>
      </c>
      <c r="J309"/>
      <c r="K309">
        <v>4.29</v>
      </c>
      <c r="L309">
        <v>0.0</v>
      </c>
      <c r="M309"/>
      <c r="N309"/>
      <c r="O309">
        <v>0.77</v>
      </c>
      <c r="P309">
        <v>0.0</v>
      </c>
      <c r="Q309">
        <v>5.06</v>
      </c>
      <c r="R309"/>
      <c r="S309"/>
      <c r="T309"/>
      <c r="U309"/>
      <c r="V309"/>
      <c r="W309">
        <v>18</v>
      </c>
    </row>
    <row r="310" spans="1:23">
      <c r="A310"/>
      <c r="B310" t="s">
        <v>45</v>
      </c>
      <c r="C310" t="s">
        <v>45</v>
      </c>
      <c r="D310" t="s">
        <v>33</v>
      </c>
      <c r="E310" t="s">
        <v>34</v>
      </c>
      <c r="F310" t="str">
        <f>"0000639"</f>
        <v>0000639</v>
      </c>
      <c r="G310">
        <v>1</v>
      </c>
      <c r="H310" t="str">
        <f>"00000000"</f>
        <v>00000000</v>
      </c>
      <c r="I310" t="s">
        <v>35</v>
      </c>
      <c r="J310"/>
      <c r="K310">
        <v>13.93</v>
      </c>
      <c r="L310">
        <v>0.0</v>
      </c>
      <c r="M310"/>
      <c r="N310"/>
      <c r="O310">
        <v>2.51</v>
      </c>
      <c r="P310">
        <v>0.0</v>
      </c>
      <c r="Q310">
        <v>16.44</v>
      </c>
      <c r="R310"/>
      <c r="S310"/>
      <c r="T310"/>
      <c r="U310"/>
      <c r="V310"/>
      <c r="W310">
        <v>18</v>
      </c>
    </row>
    <row r="311" spans="1:23">
      <c r="A311"/>
      <c r="B311" t="s">
        <v>45</v>
      </c>
      <c r="C311" t="s">
        <v>45</v>
      </c>
      <c r="D311" t="s">
        <v>33</v>
      </c>
      <c r="E311" t="s">
        <v>34</v>
      </c>
      <c r="F311" t="str">
        <f>"0000640"</f>
        <v>0000640</v>
      </c>
      <c r="G311">
        <v>1</v>
      </c>
      <c r="H311" t="str">
        <f>"00000000"</f>
        <v>00000000</v>
      </c>
      <c r="I311" t="s">
        <v>35</v>
      </c>
      <c r="J311"/>
      <c r="K311">
        <v>9.24</v>
      </c>
      <c r="L311">
        <v>0.0</v>
      </c>
      <c r="M311"/>
      <c r="N311"/>
      <c r="O311">
        <v>1.66</v>
      </c>
      <c r="P311">
        <v>0.0</v>
      </c>
      <c r="Q311">
        <v>10.9</v>
      </c>
      <c r="R311"/>
      <c r="S311"/>
      <c r="T311"/>
      <c r="U311"/>
      <c r="V311"/>
      <c r="W311">
        <v>18</v>
      </c>
    </row>
    <row r="312" spans="1:23">
      <c r="A312"/>
      <c r="B312" t="s">
        <v>45</v>
      </c>
      <c r="C312" t="s">
        <v>45</v>
      </c>
      <c r="D312" t="s">
        <v>33</v>
      </c>
      <c r="E312" t="s">
        <v>34</v>
      </c>
      <c r="F312" t="str">
        <f>"0000641"</f>
        <v>0000641</v>
      </c>
      <c r="G312">
        <v>1</v>
      </c>
      <c r="H312" t="str">
        <f>"00000000"</f>
        <v>00000000</v>
      </c>
      <c r="I312" t="s">
        <v>35</v>
      </c>
      <c r="J312"/>
      <c r="K312">
        <v>1.69</v>
      </c>
      <c r="L312">
        <v>0.0</v>
      </c>
      <c r="M312"/>
      <c r="N312"/>
      <c r="O312">
        <v>0.31</v>
      </c>
      <c r="P312">
        <v>0.0</v>
      </c>
      <c r="Q312">
        <v>2.0</v>
      </c>
      <c r="R312"/>
      <c r="S312"/>
      <c r="T312"/>
      <c r="U312"/>
      <c r="V312"/>
      <c r="W312">
        <v>18</v>
      </c>
    </row>
    <row r="313" spans="1:23">
      <c r="A313"/>
      <c r="B313" t="s">
        <v>45</v>
      </c>
      <c r="C313" t="s">
        <v>45</v>
      </c>
      <c r="D313" t="s">
        <v>33</v>
      </c>
      <c r="E313" t="s">
        <v>34</v>
      </c>
      <c r="F313" t="str">
        <f>"0000642"</f>
        <v>0000642</v>
      </c>
      <c r="G313">
        <v>1</v>
      </c>
      <c r="H313" t="str">
        <f>"00000000"</f>
        <v>00000000</v>
      </c>
      <c r="I313" t="s">
        <v>35</v>
      </c>
      <c r="J313"/>
      <c r="K313">
        <v>5.38</v>
      </c>
      <c r="L313">
        <v>0.0</v>
      </c>
      <c r="M313"/>
      <c r="N313"/>
      <c r="O313">
        <v>0.97</v>
      </c>
      <c r="P313">
        <v>0.2</v>
      </c>
      <c r="Q313">
        <v>6.55</v>
      </c>
      <c r="R313"/>
      <c r="S313"/>
      <c r="T313"/>
      <c r="U313"/>
      <c r="V313"/>
      <c r="W313">
        <v>18</v>
      </c>
    </row>
    <row r="314" spans="1:23">
      <c r="A314"/>
      <c r="B314" t="s">
        <v>45</v>
      </c>
      <c r="C314" t="s">
        <v>45</v>
      </c>
      <c r="D314" t="s">
        <v>33</v>
      </c>
      <c r="E314" t="s">
        <v>34</v>
      </c>
      <c r="F314" t="str">
        <f>"0000643"</f>
        <v>0000643</v>
      </c>
      <c r="G314">
        <v>1</v>
      </c>
      <c r="H314" t="str">
        <f>"00000000"</f>
        <v>00000000</v>
      </c>
      <c r="I314" t="s">
        <v>35</v>
      </c>
      <c r="J314"/>
      <c r="K314">
        <v>0.52</v>
      </c>
      <c r="L314">
        <v>0.0</v>
      </c>
      <c r="M314"/>
      <c r="N314"/>
      <c r="O314">
        <v>0.09</v>
      </c>
      <c r="P314">
        <v>0.0</v>
      </c>
      <c r="Q314">
        <v>0.61</v>
      </c>
      <c r="R314"/>
      <c r="S314"/>
      <c r="T314"/>
      <c r="U314"/>
      <c r="V314"/>
      <c r="W314">
        <v>18</v>
      </c>
    </row>
    <row r="315" spans="1:23">
      <c r="A315"/>
      <c r="B315" t="s">
        <v>45</v>
      </c>
      <c r="C315" t="s">
        <v>45</v>
      </c>
      <c r="D315" t="s">
        <v>36</v>
      </c>
      <c r="E315" t="s">
        <v>37</v>
      </c>
      <c r="F315" t="str">
        <f>"0000017"</f>
        <v>0000017</v>
      </c>
      <c r="G315">
        <v>6</v>
      </c>
      <c r="H315" t="str">
        <f>"20547236875"</f>
        <v>20547236875</v>
      </c>
      <c r="I315" t="s">
        <v>44</v>
      </c>
      <c r="J315"/>
      <c r="K315">
        <v>15.76</v>
      </c>
      <c r="L315">
        <v>0.0</v>
      </c>
      <c r="M315"/>
      <c r="N315"/>
      <c r="O315">
        <v>2.84</v>
      </c>
      <c r="P315">
        <v>0.2</v>
      </c>
      <c r="Q315">
        <v>18.8</v>
      </c>
      <c r="R315"/>
      <c r="S315"/>
      <c r="T315"/>
      <c r="U315"/>
      <c r="V315"/>
      <c r="W315">
        <v>18</v>
      </c>
    </row>
    <row r="316" spans="1:23">
      <c r="A316"/>
      <c r="B316" t="s">
        <v>45</v>
      </c>
      <c r="C316" t="s">
        <v>45</v>
      </c>
      <c r="D316" t="s">
        <v>33</v>
      </c>
      <c r="E316" t="s">
        <v>34</v>
      </c>
      <c r="F316" t="str">
        <f>"0000644"</f>
        <v>0000644</v>
      </c>
      <c r="G316">
        <v>1</v>
      </c>
      <c r="H316" t="str">
        <f>"00000000"</f>
        <v>00000000</v>
      </c>
      <c r="I316" t="s">
        <v>35</v>
      </c>
      <c r="J316"/>
      <c r="K316">
        <v>140.98</v>
      </c>
      <c r="L316">
        <v>0.0</v>
      </c>
      <c r="M316"/>
      <c r="N316"/>
      <c r="O316">
        <v>25.38</v>
      </c>
      <c r="P316">
        <v>0.8</v>
      </c>
      <c r="Q316">
        <v>167.15</v>
      </c>
      <c r="R316"/>
      <c r="S316"/>
      <c r="T316"/>
      <c r="U316"/>
      <c r="V316"/>
      <c r="W316">
        <v>18</v>
      </c>
    </row>
    <row r="317" spans="1:23">
      <c r="A317"/>
      <c r="B317" t="s">
        <v>45</v>
      </c>
      <c r="C317" t="s">
        <v>45</v>
      </c>
      <c r="D317" t="s">
        <v>33</v>
      </c>
      <c r="E317" t="s">
        <v>34</v>
      </c>
      <c r="F317" t="str">
        <f>"0000645"</f>
        <v>0000645</v>
      </c>
      <c r="G317">
        <v>1</v>
      </c>
      <c r="H317" t="str">
        <f>"00000000"</f>
        <v>00000000</v>
      </c>
      <c r="I317" t="s">
        <v>35</v>
      </c>
      <c r="J317"/>
      <c r="K317">
        <v>43.73</v>
      </c>
      <c r="L317">
        <v>0.0</v>
      </c>
      <c r="M317"/>
      <c r="N317"/>
      <c r="O317">
        <v>7.87</v>
      </c>
      <c r="P317">
        <v>0.2</v>
      </c>
      <c r="Q317">
        <v>51.8</v>
      </c>
      <c r="R317"/>
      <c r="S317"/>
      <c r="T317"/>
      <c r="U317"/>
      <c r="V317"/>
      <c r="W317">
        <v>18</v>
      </c>
    </row>
    <row r="318" spans="1:23">
      <c r="A318"/>
      <c r="B318" t="s">
        <v>45</v>
      </c>
      <c r="C318" t="s">
        <v>45</v>
      </c>
      <c r="D318" t="s">
        <v>33</v>
      </c>
      <c r="E318" t="s">
        <v>34</v>
      </c>
      <c r="F318" t="str">
        <f>"0000646"</f>
        <v>0000646</v>
      </c>
      <c r="G318">
        <v>1</v>
      </c>
      <c r="H318" t="str">
        <f>"00000000"</f>
        <v>00000000</v>
      </c>
      <c r="I318" t="s">
        <v>35</v>
      </c>
      <c r="J318"/>
      <c r="K318">
        <v>5.51</v>
      </c>
      <c r="L318">
        <v>0.0</v>
      </c>
      <c r="M318"/>
      <c r="N318"/>
      <c r="O318">
        <v>0.99</v>
      </c>
      <c r="P318">
        <v>0.0</v>
      </c>
      <c r="Q318">
        <v>6.5</v>
      </c>
      <c r="R318"/>
      <c r="S318"/>
      <c r="T318"/>
      <c r="U318"/>
      <c r="V318"/>
      <c r="W318">
        <v>18</v>
      </c>
    </row>
    <row r="319" spans="1:23">
      <c r="A319"/>
      <c r="B319" t="s">
        <v>45</v>
      </c>
      <c r="C319" t="s">
        <v>45</v>
      </c>
      <c r="D319" t="s">
        <v>33</v>
      </c>
      <c r="E319" t="s">
        <v>34</v>
      </c>
      <c r="F319" t="str">
        <f>"0000647"</f>
        <v>0000647</v>
      </c>
      <c r="G319">
        <v>1</v>
      </c>
      <c r="H319" t="str">
        <f>"00000000"</f>
        <v>00000000</v>
      </c>
      <c r="I319" t="s">
        <v>35</v>
      </c>
      <c r="J319"/>
      <c r="K319">
        <v>9.16</v>
      </c>
      <c r="L319">
        <v>0.0</v>
      </c>
      <c r="M319"/>
      <c r="N319"/>
      <c r="O319">
        <v>1.65</v>
      </c>
      <c r="P319">
        <v>0.2</v>
      </c>
      <c r="Q319">
        <v>11.01</v>
      </c>
      <c r="R319"/>
      <c r="S319"/>
      <c r="T319"/>
      <c r="U319"/>
      <c r="V319"/>
      <c r="W319">
        <v>18</v>
      </c>
    </row>
    <row r="320" spans="1:23">
      <c r="A320"/>
      <c r="B320" t="s">
        <v>45</v>
      </c>
      <c r="C320" t="s">
        <v>45</v>
      </c>
      <c r="D320" t="s">
        <v>33</v>
      </c>
      <c r="E320" t="s">
        <v>34</v>
      </c>
      <c r="F320" t="str">
        <f>"0000648"</f>
        <v>0000648</v>
      </c>
      <c r="G320">
        <v>1</v>
      </c>
      <c r="H320" t="str">
        <f>"00000000"</f>
        <v>00000000</v>
      </c>
      <c r="I320" t="s">
        <v>35</v>
      </c>
      <c r="J320"/>
      <c r="K320">
        <v>4.83</v>
      </c>
      <c r="L320">
        <v>0.0</v>
      </c>
      <c r="M320"/>
      <c r="N320"/>
      <c r="O320">
        <v>0.87</v>
      </c>
      <c r="P320">
        <v>0.0</v>
      </c>
      <c r="Q320">
        <v>5.7</v>
      </c>
      <c r="R320"/>
      <c r="S320"/>
      <c r="T320"/>
      <c r="U320"/>
      <c r="V320"/>
      <c r="W320">
        <v>18</v>
      </c>
    </row>
    <row r="321" spans="1:23">
      <c r="A321"/>
      <c r="B321" t="s">
        <v>45</v>
      </c>
      <c r="C321" t="s">
        <v>45</v>
      </c>
      <c r="D321" t="s">
        <v>33</v>
      </c>
      <c r="E321" t="s">
        <v>34</v>
      </c>
      <c r="F321" t="str">
        <f>"0000649"</f>
        <v>0000649</v>
      </c>
      <c r="G321">
        <v>1</v>
      </c>
      <c r="H321" t="str">
        <f>"00000000"</f>
        <v>00000000</v>
      </c>
      <c r="I321" t="s">
        <v>35</v>
      </c>
      <c r="J321"/>
      <c r="K321">
        <v>4.2</v>
      </c>
      <c r="L321">
        <v>0.0</v>
      </c>
      <c r="M321"/>
      <c r="N321"/>
      <c r="O321">
        <v>0.76</v>
      </c>
      <c r="P321">
        <v>0.0</v>
      </c>
      <c r="Q321">
        <v>4.96</v>
      </c>
      <c r="R321"/>
      <c r="S321"/>
      <c r="T321"/>
      <c r="U321"/>
      <c r="V321"/>
      <c r="W321">
        <v>18</v>
      </c>
    </row>
    <row r="322" spans="1:23">
      <c r="A322"/>
      <c r="B322" t="s">
        <v>45</v>
      </c>
      <c r="C322" t="s">
        <v>45</v>
      </c>
      <c r="D322" t="s">
        <v>33</v>
      </c>
      <c r="E322" t="s">
        <v>34</v>
      </c>
      <c r="F322" t="str">
        <f>"0000650"</f>
        <v>0000650</v>
      </c>
      <c r="G322">
        <v>1</v>
      </c>
      <c r="H322" t="str">
        <f>"00000000"</f>
        <v>00000000</v>
      </c>
      <c r="I322" t="s">
        <v>35</v>
      </c>
      <c r="J322"/>
      <c r="K322">
        <v>46.36</v>
      </c>
      <c r="L322">
        <v>0.0</v>
      </c>
      <c r="M322"/>
      <c r="N322"/>
      <c r="O322">
        <v>8.34</v>
      </c>
      <c r="P322">
        <v>0.2</v>
      </c>
      <c r="Q322">
        <v>54.9</v>
      </c>
      <c r="R322"/>
      <c r="S322"/>
      <c r="T322"/>
      <c r="U322"/>
      <c r="V322"/>
      <c r="W322">
        <v>18</v>
      </c>
    </row>
    <row r="323" spans="1:23">
      <c r="A323"/>
      <c r="B323" t="s">
        <v>45</v>
      </c>
      <c r="C323" t="s">
        <v>45</v>
      </c>
      <c r="D323" t="s">
        <v>36</v>
      </c>
      <c r="E323" t="s">
        <v>37</v>
      </c>
      <c r="F323" t="str">
        <f>"0000018"</f>
        <v>0000018</v>
      </c>
      <c r="G323">
        <v>6</v>
      </c>
      <c r="H323" t="str">
        <f>"20547236875"</f>
        <v>20547236875</v>
      </c>
      <c r="I323" t="s">
        <v>44</v>
      </c>
      <c r="J323"/>
      <c r="K323">
        <v>10.95</v>
      </c>
      <c r="L323">
        <v>0.0</v>
      </c>
      <c r="M323"/>
      <c r="N323"/>
      <c r="O323">
        <v>1.97</v>
      </c>
      <c r="P323">
        <v>0.2</v>
      </c>
      <c r="Q323">
        <v>13.12</v>
      </c>
      <c r="R323"/>
      <c r="S323"/>
      <c r="T323"/>
      <c r="U323"/>
      <c r="V323"/>
      <c r="W323">
        <v>18</v>
      </c>
    </row>
    <row r="324" spans="1:23">
      <c r="A324"/>
      <c r="B324" t="s">
        <v>45</v>
      </c>
      <c r="C324" t="s">
        <v>45</v>
      </c>
      <c r="D324" t="s">
        <v>33</v>
      </c>
      <c r="E324" t="s">
        <v>34</v>
      </c>
      <c r="F324" t="str">
        <f>"0000651"</f>
        <v>0000651</v>
      </c>
      <c r="G324">
        <v>1</v>
      </c>
      <c r="H324" t="str">
        <f>"00000000"</f>
        <v>00000000</v>
      </c>
      <c r="I324" t="s">
        <v>35</v>
      </c>
      <c r="J324"/>
      <c r="K324">
        <v>21.19</v>
      </c>
      <c r="L324">
        <v>0.0</v>
      </c>
      <c r="M324"/>
      <c r="N324"/>
      <c r="O324">
        <v>3.81</v>
      </c>
      <c r="P324">
        <v>0.0</v>
      </c>
      <c r="Q324">
        <v>25.0</v>
      </c>
      <c r="R324"/>
      <c r="S324"/>
      <c r="T324"/>
      <c r="U324"/>
      <c r="V324"/>
      <c r="W324">
        <v>18</v>
      </c>
    </row>
    <row r="325" spans="1:23">
      <c r="A325"/>
      <c r="B325" t="s">
        <v>45</v>
      </c>
      <c r="C325" t="s">
        <v>45</v>
      </c>
      <c r="D325" t="s">
        <v>33</v>
      </c>
      <c r="E325" t="s">
        <v>34</v>
      </c>
      <c r="F325" t="str">
        <f>"0000652"</f>
        <v>0000652</v>
      </c>
      <c r="G325">
        <v>1</v>
      </c>
      <c r="H325" t="str">
        <f>"00000000"</f>
        <v>00000000</v>
      </c>
      <c r="I325" t="s">
        <v>35</v>
      </c>
      <c r="J325"/>
      <c r="K325">
        <v>32.07</v>
      </c>
      <c r="L325">
        <v>0.0</v>
      </c>
      <c r="M325"/>
      <c r="N325"/>
      <c r="O325">
        <v>5.77</v>
      </c>
      <c r="P325">
        <v>0.0</v>
      </c>
      <c r="Q325">
        <v>37.84</v>
      </c>
      <c r="R325"/>
      <c r="S325"/>
      <c r="T325"/>
      <c r="U325"/>
      <c r="V325"/>
      <c r="W325">
        <v>18</v>
      </c>
    </row>
    <row r="326" spans="1:23">
      <c r="A326"/>
      <c r="B326" t="s">
        <v>45</v>
      </c>
      <c r="C326" t="s">
        <v>45</v>
      </c>
      <c r="D326" t="s">
        <v>33</v>
      </c>
      <c r="E326" t="s">
        <v>34</v>
      </c>
      <c r="F326" t="str">
        <f>"0000653"</f>
        <v>0000653</v>
      </c>
      <c r="G326">
        <v>1</v>
      </c>
      <c r="H326" t="str">
        <f>"00000000"</f>
        <v>00000000</v>
      </c>
      <c r="I326" t="s">
        <v>35</v>
      </c>
      <c r="J326"/>
      <c r="K326">
        <v>2.97</v>
      </c>
      <c r="L326">
        <v>0.0</v>
      </c>
      <c r="M326"/>
      <c r="N326"/>
      <c r="O326">
        <v>0.53</v>
      </c>
      <c r="P326">
        <v>0.0</v>
      </c>
      <c r="Q326">
        <v>3.5</v>
      </c>
      <c r="R326"/>
      <c r="S326"/>
      <c r="T326"/>
      <c r="U326"/>
      <c r="V326"/>
      <c r="W326">
        <v>18</v>
      </c>
    </row>
    <row r="327" spans="1:23">
      <c r="A327"/>
      <c r="B327" t="s">
        <v>45</v>
      </c>
      <c r="C327" t="s">
        <v>45</v>
      </c>
      <c r="D327" t="s">
        <v>33</v>
      </c>
      <c r="E327" t="s">
        <v>34</v>
      </c>
      <c r="F327" t="str">
        <f>"0000654"</f>
        <v>0000654</v>
      </c>
      <c r="G327">
        <v>1</v>
      </c>
      <c r="H327" t="str">
        <f>"00000000"</f>
        <v>00000000</v>
      </c>
      <c r="I327" t="s">
        <v>35</v>
      </c>
      <c r="J327"/>
      <c r="K327">
        <v>5.51</v>
      </c>
      <c r="L327">
        <v>0.0</v>
      </c>
      <c r="M327"/>
      <c r="N327"/>
      <c r="O327">
        <v>0.99</v>
      </c>
      <c r="P327">
        <v>0.0</v>
      </c>
      <c r="Q327">
        <v>6.5</v>
      </c>
      <c r="R327"/>
      <c r="S327"/>
      <c r="T327"/>
      <c r="U327"/>
      <c r="V327"/>
      <c r="W327">
        <v>18</v>
      </c>
    </row>
    <row r="328" spans="1:23">
      <c r="A328"/>
      <c r="B328" t="s">
        <v>45</v>
      </c>
      <c r="C328" t="s">
        <v>45</v>
      </c>
      <c r="D328" t="s">
        <v>33</v>
      </c>
      <c r="E328" t="s">
        <v>34</v>
      </c>
      <c r="F328" t="str">
        <f>"0000655"</f>
        <v>0000655</v>
      </c>
      <c r="G328">
        <v>1</v>
      </c>
      <c r="H328" t="str">
        <f>"00000000"</f>
        <v>00000000</v>
      </c>
      <c r="I328" t="s">
        <v>35</v>
      </c>
      <c r="J328"/>
      <c r="K328">
        <v>5.34</v>
      </c>
      <c r="L328">
        <v>0.0</v>
      </c>
      <c r="M328"/>
      <c r="N328"/>
      <c r="O328">
        <v>0.96</v>
      </c>
      <c r="P328">
        <v>0.0</v>
      </c>
      <c r="Q328">
        <v>6.3</v>
      </c>
      <c r="R328"/>
      <c r="S328"/>
      <c r="T328"/>
      <c r="U328"/>
      <c r="V328"/>
      <c r="W328">
        <v>18</v>
      </c>
    </row>
    <row r="329" spans="1:23">
      <c r="A329"/>
      <c r="B329" t="s">
        <v>45</v>
      </c>
      <c r="C329" t="s">
        <v>45</v>
      </c>
      <c r="D329" t="s">
        <v>33</v>
      </c>
      <c r="E329" t="s">
        <v>34</v>
      </c>
      <c r="F329" t="str">
        <f>"0000656"</f>
        <v>0000656</v>
      </c>
      <c r="G329">
        <v>1</v>
      </c>
      <c r="H329" t="str">
        <f>"00000000"</f>
        <v>00000000</v>
      </c>
      <c r="I329" t="s">
        <v>35</v>
      </c>
      <c r="J329"/>
      <c r="K329">
        <v>23.63</v>
      </c>
      <c r="L329">
        <v>0.0</v>
      </c>
      <c r="M329"/>
      <c r="N329"/>
      <c r="O329">
        <v>4.25</v>
      </c>
      <c r="P329">
        <v>0.0</v>
      </c>
      <c r="Q329">
        <v>27.88</v>
      </c>
      <c r="R329"/>
      <c r="S329"/>
      <c r="T329"/>
      <c r="U329"/>
      <c r="V329"/>
      <c r="W329">
        <v>18</v>
      </c>
    </row>
    <row r="330" spans="1:23">
      <c r="A330"/>
      <c r="B330" t="s">
        <v>45</v>
      </c>
      <c r="C330" t="s">
        <v>45</v>
      </c>
      <c r="D330" t="s">
        <v>33</v>
      </c>
      <c r="E330" t="s">
        <v>34</v>
      </c>
      <c r="F330" t="str">
        <f>"0000657"</f>
        <v>0000657</v>
      </c>
      <c r="G330">
        <v>1</v>
      </c>
      <c r="H330" t="str">
        <f>"00000000"</f>
        <v>00000000</v>
      </c>
      <c r="I330" t="s">
        <v>35</v>
      </c>
      <c r="J330"/>
      <c r="K330">
        <v>13.56</v>
      </c>
      <c r="L330">
        <v>0.0</v>
      </c>
      <c r="M330"/>
      <c r="N330"/>
      <c r="O330">
        <v>2.44</v>
      </c>
      <c r="P330">
        <v>0.0</v>
      </c>
      <c r="Q330">
        <v>16.0</v>
      </c>
      <c r="R330"/>
      <c r="S330"/>
      <c r="T330"/>
      <c r="U330"/>
      <c r="V330"/>
      <c r="W330">
        <v>18</v>
      </c>
    </row>
    <row r="331" spans="1:23">
      <c r="A331"/>
      <c r="B331" t="s">
        <v>45</v>
      </c>
      <c r="C331" t="s">
        <v>45</v>
      </c>
      <c r="D331" t="s">
        <v>33</v>
      </c>
      <c r="E331" t="s">
        <v>34</v>
      </c>
      <c r="F331" t="str">
        <f>"0000658"</f>
        <v>0000658</v>
      </c>
      <c r="G331">
        <v>1</v>
      </c>
      <c r="H331" t="str">
        <f>"00000000"</f>
        <v>00000000</v>
      </c>
      <c r="I331" t="s">
        <v>35</v>
      </c>
      <c r="J331"/>
      <c r="K331">
        <v>2.97</v>
      </c>
      <c r="L331">
        <v>0.0</v>
      </c>
      <c r="M331"/>
      <c r="N331"/>
      <c r="O331">
        <v>0.53</v>
      </c>
      <c r="P331">
        <v>0.0</v>
      </c>
      <c r="Q331">
        <v>3.5</v>
      </c>
      <c r="R331"/>
      <c r="S331"/>
      <c r="T331"/>
      <c r="U331"/>
      <c r="V331"/>
      <c r="W331">
        <v>18</v>
      </c>
    </row>
    <row r="332" spans="1:23">
      <c r="A332"/>
      <c r="B332" t="s">
        <v>45</v>
      </c>
      <c r="C332" t="s">
        <v>45</v>
      </c>
      <c r="D332" t="s">
        <v>33</v>
      </c>
      <c r="E332" t="s">
        <v>34</v>
      </c>
      <c r="F332" t="str">
        <f>"0000659"</f>
        <v>0000659</v>
      </c>
      <c r="G332">
        <v>1</v>
      </c>
      <c r="H332" t="str">
        <f>"00000000"</f>
        <v>00000000</v>
      </c>
      <c r="I332" t="s">
        <v>35</v>
      </c>
      <c r="J332"/>
      <c r="K332">
        <v>62.79</v>
      </c>
      <c r="L332">
        <v>0.0</v>
      </c>
      <c r="M332"/>
      <c r="N332"/>
      <c r="O332">
        <v>11.3</v>
      </c>
      <c r="P332">
        <v>0.2</v>
      </c>
      <c r="Q332">
        <v>74.3</v>
      </c>
      <c r="R332"/>
      <c r="S332"/>
      <c r="T332"/>
      <c r="U332"/>
      <c r="V332"/>
      <c r="W332">
        <v>18</v>
      </c>
    </row>
    <row r="333" spans="1:23">
      <c r="A333"/>
      <c r="B333" t="s">
        <v>45</v>
      </c>
      <c r="C333" t="s">
        <v>45</v>
      </c>
      <c r="D333" t="s">
        <v>33</v>
      </c>
      <c r="E333" t="s">
        <v>34</v>
      </c>
      <c r="F333" t="str">
        <f>"0000660"</f>
        <v>0000660</v>
      </c>
      <c r="G333">
        <v>1</v>
      </c>
      <c r="H333" t="str">
        <f>"00000000"</f>
        <v>00000000</v>
      </c>
      <c r="I333" t="s">
        <v>35</v>
      </c>
      <c r="J333"/>
      <c r="K333">
        <v>4.83</v>
      </c>
      <c r="L333">
        <v>0.0</v>
      </c>
      <c r="M333"/>
      <c r="N333"/>
      <c r="O333">
        <v>0.87</v>
      </c>
      <c r="P333">
        <v>0.2</v>
      </c>
      <c r="Q333">
        <v>5.9</v>
      </c>
      <c r="R333"/>
      <c r="S333"/>
      <c r="T333"/>
      <c r="U333"/>
      <c r="V333"/>
      <c r="W333">
        <v>18</v>
      </c>
    </row>
    <row r="334" spans="1:23">
      <c r="A334"/>
      <c r="B334" t="s">
        <v>45</v>
      </c>
      <c r="C334" t="s">
        <v>45</v>
      </c>
      <c r="D334" t="s">
        <v>33</v>
      </c>
      <c r="E334" t="s">
        <v>34</v>
      </c>
      <c r="F334" t="str">
        <f>"0000661"</f>
        <v>0000661</v>
      </c>
      <c r="G334">
        <v>1</v>
      </c>
      <c r="H334" t="str">
        <f>"00000000"</f>
        <v>00000000</v>
      </c>
      <c r="I334" t="s">
        <v>35</v>
      </c>
      <c r="J334"/>
      <c r="K334">
        <v>28.64</v>
      </c>
      <c r="L334">
        <v>0.0</v>
      </c>
      <c r="M334"/>
      <c r="N334"/>
      <c r="O334">
        <v>5.16</v>
      </c>
      <c r="P334">
        <v>0.2</v>
      </c>
      <c r="Q334">
        <v>34.0</v>
      </c>
      <c r="R334"/>
      <c r="S334"/>
      <c r="T334"/>
      <c r="U334"/>
      <c r="V334"/>
      <c r="W334">
        <v>18</v>
      </c>
    </row>
    <row r="335" spans="1:23">
      <c r="A335"/>
      <c r="B335" t="s">
        <v>45</v>
      </c>
      <c r="C335" t="s">
        <v>45</v>
      </c>
      <c r="D335" t="s">
        <v>33</v>
      </c>
      <c r="E335" t="s">
        <v>34</v>
      </c>
      <c r="F335" t="str">
        <f>"0000662"</f>
        <v>0000662</v>
      </c>
      <c r="G335">
        <v>1</v>
      </c>
      <c r="H335" t="str">
        <f>"00000000"</f>
        <v>00000000</v>
      </c>
      <c r="I335" t="s">
        <v>35</v>
      </c>
      <c r="J335"/>
      <c r="K335">
        <v>3.81</v>
      </c>
      <c r="L335">
        <v>0.0</v>
      </c>
      <c r="M335"/>
      <c r="N335"/>
      <c r="O335">
        <v>0.69</v>
      </c>
      <c r="P335">
        <v>0.0</v>
      </c>
      <c r="Q335">
        <v>4.5</v>
      </c>
      <c r="R335"/>
      <c r="S335"/>
      <c r="T335"/>
      <c r="U335"/>
      <c r="V335"/>
      <c r="W335">
        <v>18</v>
      </c>
    </row>
    <row r="336" spans="1:23">
      <c r="A336"/>
      <c r="B336" t="s">
        <v>45</v>
      </c>
      <c r="C336" t="s">
        <v>45</v>
      </c>
      <c r="D336" t="s">
        <v>33</v>
      </c>
      <c r="E336" t="s">
        <v>34</v>
      </c>
      <c r="F336" t="str">
        <f>"0000663"</f>
        <v>0000663</v>
      </c>
      <c r="G336">
        <v>1</v>
      </c>
      <c r="H336" t="str">
        <f>"00000000"</f>
        <v>00000000</v>
      </c>
      <c r="I336" t="s">
        <v>35</v>
      </c>
      <c r="J336"/>
      <c r="K336">
        <v>1.02</v>
      </c>
      <c r="L336">
        <v>0.0</v>
      </c>
      <c r="M336"/>
      <c r="N336"/>
      <c r="O336">
        <v>0.18</v>
      </c>
      <c r="P336">
        <v>0.0</v>
      </c>
      <c r="Q336">
        <v>1.2</v>
      </c>
      <c r="R336"/>
      <c r="S336"/>
      <c r="T336"/>
      <c r="U336"/>
      <c r="V336"/>
      <c r="W336">
        <v>18</v>
      </c>
    </row>
    <row r="337" spans="1:23">
      <c r="A337"/>
      <c r="B337" t="s">
        <v>45</v>
      </c>
      <c r="C337" t="s">
        <v>45</v>
      </c>
      <c r="D337" t="s">
        <v>33</v>
      </c>
      <c r="E337" t="s">
        <v>34</v>
      </c>
      <c r="F337" t="str">
        <f>"0000664"</f>
        <v>0000664</v>
      </c>
      <c r="G337">
        <v>1</v>
      </c>
      <c r="H337" t="str">
        <f>"00000000"</f>
        <v>00000000</v>
      </c>
      <c r="I337" t="s">
        <v>35</v>
      </c>
      <c r="J337"/>
      <c r="K337">
        <v>3.81</v>
      </c>
      <c r="L337">
        <v>0.0</v>
      </c>
      <c r="M337"/>
      <c r="N337"/>
      <c r="O337">
        <v>0.69</v>
      </c>
      <c r="P337">
        <v>0.0</v>
      </c>
      <c r="Q337">
        <v>4.5</v>
      </c>
      <c r="R337"/>
      <c r="S337"/>
      <c r="T337"/>
      <c r="U337"/>
      <c r="V337"/>
      <c r="W337">
        <v>18</v>
      </c>
    </row>
    <row r="338" spans="1:23">
      <c r="A338"/>
      <c r="B338" t="s">
        <v>45</v>
      </c>
      <c r="C338" t="s">
        <v>45</v>
      </c>
      <c r="D338" t="s">
        <v>33</v>
      </c>
      <c r="E338" t="s">
        <v>34</v>
      </c>
      <c r="F338" t="str">
        <f>"0000665"</f>
        <v>0000665</v>
      </c>
      <c r="G338">
        <v>1</v>
      </c>
      <c r="H338" t="str">
        <f>"00000000"</f>
        <v>00000000</v>
      </c>
      <c r="I338" t="s">
        <v>35</v>
      </c>
      <c r="J338"/>
      <c r="K338">
        <v>13.97</v>
      </c>
      <c r="L338">
        <v>0.0</v>
      </c>
      <c r="M338"/>
      <c r="N338"/>
      <c r="O338">
        <v>2.51</v>
      </c>
      <c r="P338">
        <v>0.0</v>
      </c>
      <c r="Q338">
        <v>16.49</v>
      </c>
      <c r="R338"/>
      <c r="S338"/>
      <c r="T338"/>
      <c r="U338"/>
      <c r="V338"/>
      <c r="W338">
        <v>18</v>
      </c>
    </row>
    <row r="339" spans="1:23">
      <c r="A339"/>
      <c r="B339" t="s">
        <v>45</v>
      </c>
      <c r="C339" t="s">
        <v>45</v>
      </c>
      <c r="D339" t="s">
        <v>33</v>
      </c>
      <c r="E339" t="s">
        <v>34</v>
      </c>
      <c r="F339" t="str">
        <f>"0000666"</f>
        <v>0000666</v>
      </c>
      <c r="G339">
        <v>1</v>
      </c>
      <c r="H339" t="str">
        <f>"00000000"</f>
        <v>00000000</v>
      </c>
      <c r="I339" t="s">
        <v>35</v>
      </c>
      <c r="J339"/>
      <c r="K339">
        <v>13.39</v>
      </c>
      <c r="L339">
        <v>0.0</v>
      </c>
      <c r="M339"/>
      <c r="N339"/>
      <c r="O339">
        <v>2.41</v>
      </c>
      <c r="P339">
        <v>0.2</v>
      </c>
      <c r="Q339">
        <v>16.0</v>
      </c>
      <c r="R339"/>
      <c r="S339"/>
      <c r="T339"/>
      <c r="U339"/>
      <c r="V339"/>
      <c r="W339">
        <v>18</v>
      </c>
    </row>
    <row r="340" spans="1:23">
      <c r="A340"/>
      <c r="B340" t="s">
        <v>45</v>
      </c>
      <c r="C340" t="s">
        <v>45</v>
      </c>
      <c r="D340" t="s">
        <v>33</v>
      </c>
      <c r="E340" t="s">
        <v>34</v>
      </c>
      <c r="F340" t="str">
        <f>"0000667"</f>
        <v>0000667</v>
      </c>
      <c r="G340">
        <v>1</v>
      </c>
      <c r="H340" t="str">
        <f>"00000000"</f>
        <v>00000000</v>
      </c>
      <c r="I340" t="s">
        <v>35</v>
      </c>
      <c r="J340"/>
      <c r="K340">
        <v>67.46</v>
      </c>
      <c r="L340">
        <v>0.0</v>
      </c>
      <c r="M340"/>
      <c r="N340"/>
      <c r="O340">
        <v>12.14</v>
      </c>
      <c r="P340">
        <v>0.4</v>
      </c>
      <c r="Q340">
        <v>80.0</v>
      </c>
      <c r="R340"/>
      <c r="S340"/>
      <c r="T340"/>
      <c r="U340"/>
      <c r="V340"/>
      <c r="W340">
        <v>18</v>
      </c>
    </row>
    <row r="341" spans="1:23">
      <c r="A341"/>
      <c r="B341" t="s">
        <v>45</v>
      </c>
      <c r="C341" t="s">
        <v>45</v>
      </c>
      <c r="D341" t="s">
        <v>33</v>
      </c>
      <c r="E341" t="s">
        <v>34</v>
      </c>
      <c r="F341" t="str">
        <f>"0000668"</f>
        <v>0000668</v>
      </c>
      <c r="G341">
        <v>1</v>
      </c>
      <c r="H341" t="str">
        <f>"00000000"</f>
        <v>00000000</v>
      </c>
      <c r="I341" t="s">
        <v>35</v>
      </c>
      <c r="J341"/>
      <c r="K341">
        <v>10.59</v>
      </c>
      <c r="L341">
        <v>0.0</v>
      </c>
      <c r="M341"/>
      <c r="N341"/>
      <c r="O341">
        <v>1.91</v>
      </c>
      <c r="P341">
        <v>0.2</v>
      </c>
      <c r="Q341">
        <v>12.7</v>
      </c>
      <c r="R341"/>
      <c r="S341"/>
      <c r="T341"/>
      <c r="U341"/>
      <c r="V341"/>
      <c r="W341">
        <v>18</v>
      </c>
    </row>
    <row r="342" spans="1:23">
      <c r="A342"/>
      <c r="B342" t="s">
        <v>45</v>
      </c>
      <c r="C342" t="s">
        <v>45</v>
      </c>
      <c r="D342" t="s">
        <v>33</v>
      </c>
      <c r="E342" t="s">
        <v>34</v>
      </c>
      <c r="F342" t="str">
        <f>"0000669"</f>
        <v>0000669</v>
      </c>
      <c r="G342">
        <v>1</v>
      </c>
      <c r="H342" t="str">
        <f>"00000000"</f>
        <v>00000000</v>
      </c>
      <c r="I342" t="s">
        <v>35</v>
      </c>
      <c r="J342"/>
      <c r="K342">
        <v>1.27</v>
      </c>
      <c r="L342">
        <v>0.0</v>
      </c>
      <c r="M342"/>
      <c r="N342"/>
      <c r="O342">
        <v>0.23</v>
      </c>
      <c r="P342">
        <v>0.0</v>
      </c>
      <c r="Q342">
        <v>1.5</v>
      </c>
      <c r="R342"/>
      <c r="S342"/>
      <c r="T342"/>
      <c r="U342"/>
      <c r="V342"/>
      <c r="W342">
        <v>18</v>
      </c>
    </row>
    <row r="343" spans="1:23">
      <c r="A343"/>
      <c r="B343" t="s">
        <v>45</v>
      </c>
      <c r="C343" t="s">
        <v>45</v>
      </c>
      <c r="D343" t="s">
        <v>33</v>
      </c>
      <c r="E343" t="s">
        <v>34</v>
      </c>
      <c r="F343" t="str">
        <f>"0000670"</f>
        <v>0000670</v>
      </c>
      <c r="G343">
        <v>1</v>
      </c>
      <c r="H343" t="str">
        <f>"00000000"</f>
        <v>00000000</v>
      </c>
      <c r="I343" t="s">
        <v>35</v>
      </c>
      <c r="J343"/>
      <c r="K343">
        <v>17.63</v>
      </c>
      <c r="L343">
        <v>0.0</v>
      </c>
      <c r="M343"/>
      <c r="N343"/>
      <c r="O343">
        <v>3.17</v>
      </c>
      <c r="P343">
        <v>0.2</v>
      </c>
      <c r="Q343">
        <v>21.0</v>
      </c>
      <c r="R343"/>
      <c r="S343"/>
      <c r="T343"/>
      <c r="U343"/>
      <c r="V343"/>
      <c r="W343">
        <v>18</v>
      </c>
    </row>
    <row r="344" spans="1:23">
      <c r="A344"/>
      <c r="B344" t="s">
        <v>45</v>
      </c>
      <c r="C344" t="s">
        <v>45</v>
      </c>
      <c r="D344" t="s">
        <v>33</v>
      </c>
      <c r="E344" t="s">
        <v>34</v>
      </c>
      <c r="F344" t="str">
        <f>"0000671"</f>
        <v>0000671</v>
      </c>
      <c r="G344">
        <v>1</v>
      </c>
      <c r="H344" t="str">
        <f>"00000000"</f>
        <v>00000000</v>
      </c>
      <c r="I344" t="s">
        <v>35</v>
      </c>
      <c r="J344"/>
      <c r="K344">
        <v>3.3</v>
      </c>
      <c r="L344">
        <v>0.0</v>
      </c>
      <c r="M344"/>
      <c r="N344"/>
      <c r="O344">
        <v>0.59</v>
      </c>
      <c r="P344">
        <v>0.0</v>
      </c>
      <c r="Q344">
        <v>3.89</v>
      </c>
      <c r="R344"/>
      <c r="S344"/>
      <c r="T344"/>
      <c r="U344"/>
      <c r="V344"/>
      <c r="W344">
        <v>18</v>
      </c>
    </row>
    <row r="345" spans="1:23">
      <c r="A345"/>
      <c r="B345" t="s">
        <v>45</v>
      </c>
      <c r="C345" t="s">
        <v>45</v>
      </c>
      <c r="D345" t="s">
        <v>33</v>
      </c>
      <c r="E345" t="s">
        <v>34</v>
      </c>
      <c r="F345" t="str">
        <f>"0000672"</f>
        <v>0000672</v>
      </c>
      <c r="G345">
        <v>1</v>
      </c>
      <c r="H345" t="str">
        <f>"00000000"</f>
        <v>00000000</v>
      </c>
      <c r="I345" t="s">
        <v>35</v>
      </c>
      <c r="J345"/>
      <c r="K345">
        <v>8.98</v>
      </c>
      <c r="L345">
        <v>0.0</v>
      </c>
      <c r="M345"/>
      <c r="N345"/>
      <c r="O345">
        <v>1.62</v>
      </c>
      <c r="P345">
        <v>0.2</v>
      </c>
      <c r="Q345">
        <v>10.8</v>
      </c>
      <c r="R345"/>
      <c r="S345"/>
      <c r="T345"/>
      <c r="U345"/>
      <c r="V345"/>
      <c r="W345">
        <v>18</v>
      </c>
    </row>
    <row r="346" spans="1:23">
      <c r="A346"/>
      <c r="B346" t="s">
        <v>45</v>
      </c>
      <c r="C346" t="s">
        <v>45</v>
      </c>
      <c r="D346" t="s">
        <v>33</v>
      </c>
      <c r="E346" t="s">
        <v>34</v>
      </c>
      <c r="F346" t="str">
        <f>"0000673"</f>
        <v>0000673</v>
      </c>
      <c r="G346">
        <v>1</v>
      </c>
      <c r="H346" t="str">
        <f>"00000000"</f>
        <v>00000000</v>
      </c>
      <c r="I346" t="s">
        <v>35</v>
      </c>
      <c r="J346"/>
      <c r="K346">
        <v>8.01</v>
      </c>
      <c r="L346">
        <v>0.0</v>
      </c>
      <c r="M346"/>
      <c r="N346"/>
      <c r="O346">
        <v>1.44</v>
      </c>
      <c r="P346">
        <v>0.0</v>
      </c>
      <c r="Q346">
        <v>9.45</v>
      </c>
      <c r="R346"/>
      <c r="S346"/>
      <c r="T346"/>
      <c r="U346"/>
      <c r="V346"/>
      <c r="W346">
        <v>18</v>
      </c>
    </row>
    <row r="347" spans="1:23">
      <c r="A347"/>
      <c r="B347" t="s">
        <v>45</v>
      </c>
      <c r="C347" t="s">
        <v>45</v>
      </c>
      <c r="D347" t="s">
        <v>33</v>
      </c>
      <c r="E347" t="s">
        <v>34</v>
      </c>
      <c r="F347" t="str">
        <f>"0000674"</f>
        <v>0000674</v>
      </c>
      <c r="G347">
        <v>1</v>
      </c>
      <c r="H347" t="str">
        <f>"00000000"</f>
        <v>00000000</v>
      </c>
      <c r="I347" t="s">
        <v>35</v>
      </c>
      <c r="J347"/>
      <c r="K347">
        <v>0.03</v>
      </c>
      <c r="L347">
        <v>0.0</v>
      </c>
      <c r="M347"/>
      <c r="N347"/>
      <c r="O347">
        <v>0.0</v>
      </c>
      <c r="P347">
        <v>0.2</v>
      </c>
      <c r="Q347">
        <v>0.23</v>
      </c>
      <c r="R347"/>
      <c r="S347"/>
      <c r="T347"/>
      <c r="U347"/>
      <c r="V347"/>
      <c r="W347">
        <v>18</v>
      </c>
    </row>
    <row r="348" spans="1:23">
      <c r="A348"/>
      <c r="B348" t="s">
        <v>45</v>
      </c>
      <c r="C348" t="s">
        <v>45</v>
      </c>
      <c r="D348" t="s">
        <v>33</v>
      </c>
      <c r="E348" t="s">
        <v>34</v>
      </c>
      <c r="F348" t="str">
        <f>"0000675"</f>
        <v>0000675</v>
      </c>
      <c r="G348">
        <v>1</v>
      </c>
      <c r="H348" t="str">
        <f>"00000000"</f>
        <v>00000000</v>
      </c>
      <c r="I348" t="s">
        <v>35</v>
      </c>
      <c r="J348"/>
      <c r="K348">
        <v>7.61</v>
      </c>
      <c r="L348">
        <v>0.0</v>
      </c>
      <c r="M348"/>
      <c r="N348"/>
      <c r="O348">
        <v>1.37</v>
      </c>
      <c r="P348">
        <v>0.0</v>
      </c>
      <c r="Q348">
        <v>8.98</v>
      </c>
      <c r="R348"/>
      <c r="S348"/>
      <c r="T348"/>
      <c r="U348"/>
      <c r="V348"/>
      <c r="W348">
        <v>18</v>
      </c>
    </row>
    <row r="349" spans="1:23">
      <c r="A349"/>
      <c r="B349" t="s">
        <v>45</v>
      </c>
      <c r="C349" t="s">
        <v>45</v>
      </c>
      <c r="D349" t="s">
        <v>33</v>
      </c>
      <c r="E349" t="s">
        <v>34</v>
      </c>
      <c r="F349" t="str">
        <f>"0000676"</f>
        <v>0000676</v>
      </c>
      <c r="G349">
        <v>1</v>
      </c>
      <c r="H349" t="str">
        <f>"00000000"</f>
        <v>00000000</v>
      </c>
      <c r="I349" t="s">
        <v>35</v>
      </c>
      <c r="J349"/>
      <c r="K349">
        <v>9.15</v>
      </c>
      <c r="L349">
        <v>0.0</v>
      </c>
      <c r="M349"/>
      <c r="N349"/>
      <c r="O349">
        <v>1.65</v>
      </c>
      <c r="P349">
        <v>0.2</v>
      </c>
      <c r="Q349">
        <v>11.0</v>
      </c>
      <c r="R349"/>
      <c r="S349"/>
      <c r="T349"/>
      <c r="U349"/>
      <c r="V349"/>
      <c r="W349">
        <v>18</v>
      </c>
    </row>
    <row r="350" spans="1:23">
      <c r="A350"/>
      <c r="B350" t="s">
        <v>45</v>
      </c>
      <c r="C350" t="s">
        <v>45</v>
      </c>
      <c r="D350" t="s">
        <v>33</v>
      </c>
      <c r="E350" t="s">
        <v>34</v>
      </c>
      <c r="F350" t="str">
        <f>"0000677"</f>
        <v>0000677</v>
      </c>
      <c r="G350">
        <v>1</v>
      </c>
      <c r="H350" t="str">
        <f>"00000000"</f>
        <v>00000000</v>
      </c>
      <c r="I350" t="s">
        <v>35</v>
      </c>
      <c r="J350"/>
      <c r="K350">
        <v>13.98</v>
      </c>
      <c r="L350">
        <v>0.0</v>
      </c>
      <c r="M350"/>
      <c r="N350"/>
      <c r="O350">
        <v>2.52</v>
      </c>
      <c r="P350">
        <v>0.0</v>
      </c>
      <c r="Q350">
        <v>16.5</v>
      </c>
      <c r="R350"/>
      <c r="S350"/>
      <c r="T350"/>
      <c r="U350"/>
      <c r="V350"/>
      <c r="W350">
        <v>18</v>
      </c>
    </row>
    <row r="351" spans="1:23">
      <c r="A351"/>
      <c r="B351" t="s">
        <v>45</v>
      </c>
      <c r="C351" t="s">
        <v>45</v>
      </c>
      <c r="D351" t="s">
        <v>33</v>
      </c>
      <c r="E351" t="s">
        <v>34</v>
      </c>
      <c r="F351" t="str">
        <f>"0000678"</f>
        <v>0000678</v>
      </c>
      <c r="G351">
        <v>1</v>
      </c>
      <c r="H351" t="str">
        <f>"00000000"</f>
        <v>00000000</v>
      </c>
      <c r="I351" t="s">
        <v>35</v>
      </c>
      <c r="J351"/>
      <c r="K351">
        <v>18.05</v>
      </c>
      <c r="L351">
        <v>0.0</v>
      </c>
      <c r="M351"/>
      <c r="N351"/>
      <c r="O351">
        <v>3.25</v>
      </c>
      <c r="P351">
        <v>0.2</v>
      </c>
      <c r="Q351">
        <v>21.5</v>
      </c>
      <c r="R351"/>
      <c r="S351"/>
      <c r="T351"/>
      <c r="U351"/>
      <c r="V351"/>
      <c r="W351">
        <v>18</v>
      </c>
    </row>
    <row r="352" spans="1:23">
      <c r="A352"/>
      <c r="B352" t="s">
        <v>45</v>
      </c>
      <c r="C352" t="s">
        <v>45</v>
      </c>
      <c r="D352" t="s">
        <v>33</v>
      </c>
      <c r="E352" t="s">
        <v>34</v>
      </c>
      <c r="F352" t="str">
        <f>"0000679"</f>
        <v>0000679</v>
      </c>
      <c r="G352">
        <v>1</v>
      </c>
      <c r="H352" t="str">
        <f>"00000000"</f>
        <v>00000000</v>
      </c>
      <c r="I352" t="s">
        <v>35</v>
      </c>
      <c r="J352"/>
      <c r="K352">
        <v>2.54</v>
      </c>
      <c r="L352">
        <v>0.0</v>
      </c>
      <c r="M352"/>
      <c r="N352"/>
      <c r="O352">
        <v>0.46</v>
      </c>
      <c r="P352">
        <v>0.0</v>
      </c>
      <c r="Q352">
        <v>3.0</v>
      </c>
      <c r="R352"/>
      <c r="S352"/>
      <c r="T352"/>
      <c r="U352"/>
      <c r="V352"/>
      <c r="W352">
        <v>18</v>
      </c>
    </row>
    <row r="353" spans="1:23">
      <c r="A353"/>
      <c r="B353" t="s">
        <v>45</v>
      </c>
      <c r="C353" t="s">
        <v>45</v>
      </c>
      <c r="D353" t="s">
        <v>33</v>
      </c>
      <c r="E353" t="s">
        <v>34</v>
      </c>
      <c r="F353" t="str">
        <f>"0000680"</f>
        <v>0000680</v>
      </c>
      <c r="G353">
        <v>1</v>
      </c>
      <c r="H353" t="str">
        <f>"00000000"</f>
        <v>00000000</v>
      </c>
      <c r="I353" t="s">
        <v>35</v>
      </c>
      <c r="J353"/>
      <c r="K353">
        <v>8.75</v>
      </c>
      <c r="L353">
        <v>0.0</v>
      </c>
      <c r="M353"/>
      <c r="N353"/>
      <c r="O353">
        <v>1.57</v>
      </c>
      <c r="P353">
        <v>0.0</v>
      </c>
      <c r="Q353">
        <v>10.32</v>
      </c>
      <c r="R353"/>
      <c r="S353"/>
      <c r="T353"/>
      <c r="U353"/>
      <c r="V353"/>
      <c r="W353">
        <v>18</v>
      </c>
    </row>
    <row r="354" spans="1:23">
      <c r="A354"/>
      <c r="B354" t="s">
        <v>45</v>
      </c>
      <c r="C354" t="s">
        <v>45</v>
      </c>
      <c r="D354" t="s">
        <v>33</v>
      </c>
      <c r="E354" t="s">
        <v>34</v>
      </c>
      <c r="F354" t="str">
        <f>"0000681"</f>
        <v>0000681</v>
      </c>
      <c r="G354">
        <v>1</v>
      </c>
      <c r="H354" t="str">
        <f>"00000000"</f>
        <v>00000000</v>
      </c>
      <c r="I354" t="s">
        <v>35</v>
      </c>
      <c r="J354"/>
      <c r="K354">
        <v>15.85</v>
      </c>
      <c r="L354">
        <v>0.0</v>
      </c>
      <c r="M354"/>
      <c r="N354"/>
      <c r="O354">
        <v>2.85</v>
      </c>
      <c r="P354">
        <v>0.0</v>
      </c>
      <c r="Q354">
        <v>18.7</v>
      </c>
      <c r="R354"/>
      <c r="S354"/>
      <c r="T354"/>
      <c r="U354"/>
      <c r="V354"/>
      <c r="W354">
        <v>18</v>
      </c>
    </row>
    <row r="355" spans="1:23">
      <c r="A355"/>
      <c r="B355" t="s">
        <v>45</v>
      </c>
      <c r="C355" t="s">
        <v>45</v>
      </c>
      <c r="D355" t="s">
        <v>33</v>
      </c>
      <c r="E355" t="s">
        <v>34</v>
      </c>
      <c r="F355" t="str">
        <f>"0000682"</f>
        <v>0000682</v>
      </c>
      <c r="G355">
        <v>1</v>
      </c>
      <c r="H355" t="str">
        <f>"00000000"</f>
        <v>00000000</v>
      </c>
      <c r="I355" t="s">
        <v>35</v>
      </c>
      <c r="J355"/>
      <c r="K355">
        <v>24.66</v>
      </c>
      <c r="L355">
        <v>0.0</v>
      </c>
      <c r="M355"/>
      <c r="N355"/>
      <c r="O355">
        <v>4.44</v>
      </c>
      <c r="P355">
        <v>0.2</v>
      </c>
      <c r="Q355">
        <v>29.3</v>
      </c>
      <c r="R355"/>
      <c r="S355"/>
      <c r="T355"/>
      <c r="U355"/>
      <c r="V355"/>
      <c r="W355">
        <v>18</v>
      </c>
    </row>
    <row r="356" spans="1:23">
      <c r="A356"/>
      <c r="B356" t="s">
        <v>45</v>
      </c>
      <c r="C356" t="s">
        <v>45</v>
      </c>
      <c r="D356" t="s">
        <v>33</v>
      </c>
      <c r="E356" t="s">
        <v>34</v>
      </c>
      <c r="F356" t="str">
        <f>"0000683"</f>
        <v>0000683</v>
      </c>
      <c r="G356">
        <v>1</v>
      </c>
      <c r="H356" t="str">
        <f>"00000000"</f>
        <v>00000000</v>
      </c>
      <c r="I356" t="s">
        <v>35</v>
      </c>
      <c r="J356"/>
      <c r="K356">
        <v>5.51</v>
      </c>
      <c r="L356">
        <v>0.0</v>
      </c>
      <c r="M356"/>
      <c r="N356"/>
      <c r="O356">
        <v>0.99</v>
      </c>
      <c r="P356">
        <v>0.0</v>
      </c>
      <c r="Q356">
        <v>6.5</v>
      </c>
      <c r="R356"/>
      <c r="S356"/>
      <c r="T356"/>
      <c r="U356"/>
      <c r="V356"/>
      <c r="W356">
        <v>18</v>
      </c>
    </row>
    <row r="357" spans="1:23">
      <c r="A357"/>
      <c r="B357" t="s">
        <v>45</v>
      </c>
      <c r="C357" t="s">
        <v>45</v>
      </c>
      <c r="D357" t="s">
        <v>33</v>
      </c>
      <c r="E357" t="s">
        <v>34</v>
      </c>
      <c r="F357" t="str">
        <f>"0000684"</f>
        <v>0000684</v>
      </c>
      <c r="G357">
        <v>1</v>
      </c>
      <c r="H357" t="str">
        <f>"00000000"</f>
        <v>00000000</v>
      </c>
      <c r="I357" t="s">
        <v>35</v>
      </c>
      <c r="J357"/>
      <c r="K357">
        <v>12.42</v>
      </c>
      <c r="L357">
        <v>0.0</v>
      </c>
      <c r="M357"/>
      <c r="N357"/>
      <c r="O357">
        <v>2.24</v>
      </c>
      <c r="P357">
        <v>0.0</v>
      </c>
      <c r="Q357">
        <v>14.65</v>
      </c>
      <c r="R357"/>
      <c r="S357"/>
      <c r="T357"/>
      <c r="U357"/>
      <c r="V357"/>
      <c r="W357">
        <v>18</v>
      </c>
    </row>
    <row r="358" spans="1:23">
      <c r="A358"/>
      <c r="B358" t="s">
        <v>45</v>
      </c>
      <c r="C358" t="s">
        <v>45</v>
      </c>
      <c r="D358" t="s">
        <v>33</v>
      </c>
      <c r="E358" t="s">
        <v>34</v>
      </c>
      <c r="F358" t="str">
        <f>"0000685"</f>
        <v>0000685</v>
      </c>
      <c r="G358">
        <v>1</v>
      </c>
      <c r="H358" t="str">
        <f>"00000000"</f>
        <v>00000000</v>
      </c>
      <c r="I358" t="s">
        <v>35</v>
      </c>
      <c r="J358"/>
      <c r="K358">
        <v>0.85</v>
      </c>
      <c r="L358">
        <v>0.0</v>
      </c>
      <c r="M358"/>
      <c r="N358"/>
      <c r="O358">
        <v>0.15</v>
      </c>
      <c r="P358">
        <v>0.0</v>
      </c>
      <c r="Q358">
        <v>1.0</v>
      </c>
      <c r="R358"/>
      <c r="S358"/>
      <c r="T358"/>
      <c r="U358"/>
      <c r="V358"/>
      <c r="W358">
        <v>18</v>
      </c>
    </row>
    <row r="359" spans="1:23">
      <c r="A359"/>
      <c r="B359" t="s">
        <v>45</v>
      </c>
      <c r="C359" t="s">
        <v>45</v>
      </c>
      <c r="D359" t="s">
        <v>33</v>
      </c>
      <c r="E359" t="s">
        <v>34</v>
      </c>
      <c r="F359" t="str">
        <f>"0000686"</f>
        <v>0000686</v>
      </c>
      <c r="G359">
        <v>1</v>
      </c>
      <c r="H359" t="str">
        <f>"00000000"</f>
        <v>00000000</v>
      </c>
      <c r="I359" t="s">
        <v>35</v>
      </c>
      <c r="J359"/>
      <c r="K359">
        <v>3.14</v>
      </c>
      <c r="L359">
        <v>0.0</v>
      </c>
      <c r="M359"/>
      <c r="N359"/>
      <c r="O359">
        <v>0.56</v>
      </c>
      <c r="P359">
        <v>0.0</v>
      </c>
      <c r="Q359">
        <v>3.7</v>
      </c>
      <c r="R359"/>
      <c r="S359"/>
      <c r="T359"/>
      <c r="U359"/>
      <c r="V359"/>
      <c r="W359">
        <v>18</v>
      </c>
    </row>
    <row r="360" spans="1:23">
      <c r="A360"/>
      <c r="B360" t="s">
        <v>45</v>
      </c>
      <c r="C360" t="s">
        <v>45</v>
      </c>
      <c r="D360" t="s">
        <v>33</v>
      </c>
      <c r="E360" t="s">
        <v>34</v>
      </c>
      <c r="F360" t="str">
        <f>"0000687"</f>
        <v>0000687</v>
      </c>
      <c r="G360">
        <v>1</v>
      </c>
      <c r="H360" t="str">
        <f>"00000000"</f>
        <v>00000000</v>
      </c>
      <c r="I360" t="s">
        <v>35</v>
      </c>
      <c r="J360"/>
      <c r="K360">
        <v>46.19</v>
      </c>
      <c r="L360">
        <v>0.0</v>
      </c>
      <c r="M360"/>
      <c r="N360"/>
      <c r="O360">
        <v>8.31</v>
      </c>
      <c r="P360">
        <v>0.0</v>
      </c>
      <c r="Q360">
        <v>54.5</v>
      </c>
      <c r="R360"/>
      <c r="S360"/>
      <c r="T360"/>
      <c r="U360"/>
      <c r="V360"/>
      <c r="W360">
        <v>18</v>
      </c>
    </row>
    <row r="361" spans="1:23">
      <c r="A361"/>
      <c r="B361" t="s">
        <v>45</v>
      </c>
      <c r="C361" t="s">
        <v>45</v>
      </c>
      <c r="D361" t="s">
        <v>33</v>
      </c>
      <c r="E361" t="s">
        <v>34</v>
      </c>
      <c r="F361" t="str">
        <f>"0000688"</f>
        <v>0000688</v>
      </c>
      <c r="G361">
        <v>1</v>
      </c>
      <c r="H361" t="str">
        <f>"00000000"</f>
        <v>00000000</v>
      </c>
      <c r="I361" t="s">
        <v>35</v>
      </c>
      <c r="J361"/>
      <c r="K361">
        <v>32.46</v>
      </c>
      <c r="L361">
        <v>0.0</v>
      </c>
      <c r="M361"/>
      <c r="N361"/>
      <c r="O361">
        <v>5.84</v>
      </c>
      <c r="P361">
        <v>0.2</v>
      </c>
      <c r="Q361">
        <v>38.5</v>
      </c>
      <c r="R361"/>
      <c r="S361"/>
      <c r="T361"/>
      <c r="U361"/>
      <c r="V361"/>
      <c r="W361">
        <v>18</v>
      </c>
    </row>
    <row r="362" spans="1:23">
      <c r="A362"/>
      <c r="B362" t="s">
        <v>45</v>
      </c>
      <c r="C362" t="s">
        <v>45</v>
      </c>
      <c r="D362" t="s">
        <v>33</v>
      </c>
      <c r="E362" t="s">
        <v>34</v>
      </c>
      <c r="F362" t="str">
        <f>"0000689"</f>
        <v>0000689</v>
      </c>
      <c r="G362">
        <v>1</v>
      </c>
      <c r="H362" t="str">
        <f>"00000000"</f>
        <v>00000000</v>
      </c>
      <c r="I362" t="s">
        <v>35</v>
      </c>
      <c r="J362"/>
      <c r="K362">
        <v>11.0</v>
      </c>
      <c r="L362">
        <v>0.0</v>
      </c>
      <c r="M362"/>
      <c r="N362"/>
      <c r="O362">
        <v>1.98</v>
      </c>
      <c r="P362">
        <v>0.2</v>
      </c>
      <c r="Q362">
        <v>13.18</v>
      </c>
      <c r="R362"/>
      <c r="S362"/>
      <c r="T362"/>
      <c r="U362"/>
      <c r="V362"/>
      <c r="W362">
        <v>18</v>
      </c>
    </row>
    <row r="363" spans="1:23">
      <c r="A363"/>
      <c r="B363" t="s">
        <v>45</v>
      </c>
      <c r="C363" t="s">
        <v>45</v>
      </c>
      <c r="D363" t="s">
        <v>33</v>
      </c>
      <c r="E363" t="s">
        <v>34</v>
      </c>
      <c r="F363" t="str">
        <f>"0000690"</f>
        <v>0000690</v>
      </c>
      <c r="G363">
        <v>1</v>
      </c>
      <c r="H363" t="str">
        <f>"00000000"</f>
        <v>00000000</v>
      </c>
      <c r="I363" t="s">
        <v>35</v>
      </c>
      <c r="J363"/>
      <c r="K363">
        <v>2.03</v>
      </c>
      <c r="L363">
        <v>0.0</v>
      </c>
      <c r="M363"/>
      <c r="N363"/>
      <c r="O363">
        <v>0.37</v>
      </c>
      <c r="P363">
        <v>0.0</v>
      </c>
      <c r="Q363">
        <v>2.4</v>
      </c>
      <c r="R363"/>
      <c r="S363"/>
      <c r="T363"/>
      <c r="U363"/>
      <c r="V363"/>
      <c r="W363">
        <v>18</v>
      </c>
    </row>
    <row r="364" spans="1:23">
      <c r="A364"/>
      <c r="B364" t="s">
        <v>45</v>
      </c>
      <c r="C364" t="s">
        <v>45</v>
      </c>
      <c r="D364" t="s">
        <v>33</v>
      </c>
      <c r="E364" t="s">
        <v>34</v>
      </c>
      <c r="F364" t="str">
        <f>"0000691"</f>
        <v>0000691</v>
      </c>
      <c r="G364">
        <v>1</v>
      </c>
      <c r="H364" t="str">
        <f>"00000000"</f>
        <v>00000000</v>
      </c>
      <c r="I364" t="s">
        <v>35</v>
      </c>
      <c r="J364"/>
      <c r="K364">
        <v>8.49</v>
      </c>
      <c r="L364">
        <v>0.0</v>
      </c>
      <c r="M364"/>
      <c r="N364"/>
      <c r="O364">
        <v>1.53</v>
      </c>
      <c r="P364">
        <v>0.0</v>
      </c>
      <c r="Q364">
        <v>10.02</v>
      </c>
      <c r="R364"/>
      <c r="S364"/>
      <c r="T364"/>
      <c r="U364"/>
      <c r="V364"/>
      <c r="W364">
        <v>18</v>
      </c>
    </row>
    <row r="365" spans="1:23">
      <c r="A365"/>
      <c r="B365" t="s">
        <v>45</v>
      </c>
      <c r="C365" t="s">
        <v>45</v>
      </c>
      <c r="D365" t="s">
        <v>33</v>
      </c>
      <c r="E365" t="s">
        <v>34</v>
      </c>
      <c r="F365" t="str">
        <f>"0000692"</f>
        <v>0000692</v>
      </c>
      <c r="G365">
        <v>1</v>
      </c>
      <c r="H365" t="str">
        <f>"00000000"</f>
        <v>00000000</v>
      </c>
      <c r="I365" t="s">
        <v>35</v>
      </c>
      <c r="J365"/>
      <c r="K365">
        <v>18.91</v>
      </c>
      <c r="L365">
        <v>0.0</v>
      </c>
      <c r="M365"/>
      <c r="N365"/>
      <c r="O365">
        <v>3.4</v>
      </c>
      <c r="P365">
        <v>0.2</v>
      </c>
      <c r="Q365">
        <v>22.51</v>
      </c>
      <c r="R365"/>
      <c r="S365"/>
      <c r="T365"/>
      <c r="U365"/>
      <c r="V365"/>
      <c r="W365">
        <v>18</v>
      </c>
    </row>
    <row r="366" spans="1:23">
      <c r="A366"/>
      <c r="B366" t="s">
        <v>45</v>
      </c>
      <c r="C366" t="s">
        <v>45</v>
      </c>
      <c r="D366" t="s">
        <v>33</v>
      </c>
      <c r="E366" t="s">
        <v>34</v>
      </c>
      <c r="F366" t="str">
        <f>"0000693"</f>
        <v>0000693</v>
      </c>
      <c r="G366">
        <v>1</v>
      </c>
      <c r="H366" t="str">
        <f>"00000000"</f>
        <v>00000000</v>
      </c>
      <c r="I366" t="s">
        <v>35</v>
      </c>
      <c r="J366"/>
      <c r="K366">
        <v>0.08</v>
      </c>
      <c r="L366">
        <v>0.0</v>
      </c>
      <c r="M366"/>
      <c r="N366"/>
      <c r="O366">
        <v>0.02</v>
      </c>
      <c r="P366">
        <v>0.2</v>
      </c>
      <c r="Q366">
        <v>0.3</v>
      </c>
      <c r="R366"/>
      <c r="S366"/>
      <c r="T366"/>
      <c r="U366"/>
      <c r="V366"/>
      <c r="W366">
        <v>18</v>
      </c>
    </row>
    <row r="367" spans="1:23">
      <c r="A367"/>
      <c r="B367" t="s">
        <v>45</v>
      </c>
      <c r="C367" t="s">
        <v>45</v>
      </c>
      <c r="D367" t="s">
        <v>33</v>
      </c>
      <c r="E367" t="s">
        <v>34</v>
      </c>
      <c r="F367" t="str">
        <f>"0000694"</f>
        <v>0000694</v>
      </c>
      <c r="G367">
        <v>1</v>
      </c>
      <c r="H367" t="str">
        <f>"00000000"</f>
        <v>00000000</v>
      </c>
      <c r="I367" t="s">
        <v>35</v>
      </c>
      <c r="J367"/>
      <c r="K367">
        <v>62.03</v>
      </c>
      <c r="L367">
        <v>0.0</v>
      </c>
      <c r="M367"/>
      <c r="N367"/>
      <c r="O367">
        <v>11.17</v>
      </c>
      <c r="P367">
        <v>0.2</v>
      </c>
      <c r="Q367">
        <v>73.4</v>
      </c>
      <c r="R367"/>
      <c r="S367"/>
      <c r="T367"/>
      <c r="U367"/>
      <c r="V367"/>
      <c r="W367">
        <v>18</v>
      </c>
    </row>
    <row r="368" spans="1:23">
      <c r="A368"/>
      <c r="B368" t="s">
        <v>45</v>
      </c>
      <c r="C368" t="s">
        <v>45</v>
      </c>
      <c r="D368" t="s">
        <v>33</v>
      </c>
      <c r="E368" t="s">
        <v>34</v>
      </c>
      <c r="F368" t="str">
        <f>"0000695"</f>
        <v>0000695</v>
      </c>
      <c r="G368">
        <v>1</v>
      </c>
      <c r="H368" t="str">
        <f>"00000000"</f>
        <v>00000000</v>
      </c>
      <c r="I368" t="s">
        <v>35</v>
      </c>
      <c r="J368"/>
      <c r="K368">
        <v>8.05</v>
      </c>
      <c r="L368">
        <v>0.0</v>
      </c>
      <c r="M368"/>
      <c r="N368"/>
      <c r="O368">
        <v>1.45</v>
      </c>
      <c r="P368">
        <v>0.0</v>
      </c>
      <c r="Q368">
        <v>9.5</v>
      </c>
      <c r="R368"/>
      <c r="S368"/>
      <c r="T368"/>
      <c r="U368"/>
      <c r="V368"/>
      <c r="W368">
        <v>18</v>
      </c>
    </row>
    <row r="369" spans="1:23">
      <c r="A369"/>
      <c r="B369" t="s">
        <v>45</v>
      </c>
      <c r="C369" t="s">
        <v>45</v>
      </c>
      <c r="D369" t="s">
        <v>33</v>
      </c>
      <c r="E369" t="s">
        <v>34</v>
      </c>
      <c r="F369" t="str">
        <f>"0000696"</f>
        <v>0000696</v>
      </c>
      <c r="G369">
        <v>1</v>
      </c>
      <c r="H369" t="str">
        <f>"00000000"</f>
        <v>00000000</v>
      </c>
      <c r="I369" t="s">
        <v>35</v>
      </c>
      <c r="J369"/>
      <c r="K369">
        <v>2.6</v>
      </c>
      <c r="L369">
        <v>0.0</v>
      </c>
      <c r="M369"/>
      <c r="N369"/>
      <c r="O369">
        <v>0.47</v>
      </c>
      <c r="P369">
        <v>0.0</v>
      </c>
      <c r="Q369">
        <v>3.06</v>
      </c>
      <c r="R369"/>
      <c r="S369"/>
      <c r="T369"/>
      <c r="U369"/>
      <c r="V369"/>
      <c r="W369">
        <v>18</v>
      </c>
    </row>
    <row r="370" spans="1:23">
      <c r="A370"/>
      <c r="B370" t="s">
        <v>45</v>
      </c>
      <c r="C370" t="s">
        <v>45</v>
      </c>
      <c r="D370" t="s">
        <v>33</v>
      </c>
      <c r="E370" t="s">
        <v>34</v>
      </c>
      <c r="F370" t="str">
        <f>"0000697"</f>
        <v>0000697</v>
      </c>
      <c r="G370">
        <v>1</v>
      </c>
      <c r="H370" t="str">
        <f>"00000000"</f>
        <v>00000000</v>
      </c>
      <c r="I370" t="s">
        <v>35</v>
      </c>
      <c r="J370"/>
      <c r="K370">
        <v>4.88</v>
      </c>
      <c r="L370">
        <v>0.0</v>
      </c>
      <c r="M370"/>
      <c r="N370"/>
      <c r="O370">
        <v>0.88</v>
      </c>
      <c r="P370">
        <v>0.0</v>
      </c>
      <c r="Q370">
        <v>5.76</v>
      </c>
      <c r="R370"/>
      <c r="S370"/>
      <c r="T370"/>
      <c r="U370"/>
      <c r="V370"/>
      <c r="W370">
        <v>18</v>
      </c>
    </row>
    <row r="371" spans="1:23">
      <c r="A371"/>
      <c r="B371" t="s">
        <v>45</v>
      </c>
      <c r="C371" t="s">
        <v>45</v>
      </c>
      <c r="D371" t="s">
        <v>33</v>
      </c>
      <c r="E371" t="s">
        <v>34</v>
      </c>
      <c r="F371" t="str">
        <f>"0000698"</f>
        <v>0000698</v>
      </c>
      <c r="G371">
        <v>1</v>
      </c>
      <c r="H371" t="str">
        <f>"00000000"</f>
        <v>00000000</v>
      </c>
      <c r="I371" t="s">
        <v>35</v>
      </c>
      <c r="J371"/>
      <c r="K371">
        <v>0.08</v>
      </c>
      <c r="L371">
        <v>0.0</v>
      </c>
      <c r="M371"/>
      <c r="N371"/>
      <c r="O371">
        <v>0.02</v>
      </c>
      <c r="P371">
        <v>0.2</v>
      </c>
      <c r="Q371">
        <v>0.3</v>
      </c>
      <c r="R371"/>
      <c r="S371"/>
      <c r="T371"/>
      <c r="U371"/>
      <c r="V371"/>
      <c r="W371">
        <v>18</v>
      </c>
    </row>
    <row r="372" spans="1:23">
      <c r="A372"/>
      <c r="B372" t="s">
        <v>45</v>
      </c>
      <c r="C372" t="s">
        <v>45</v>
      </c>
      <c r="D372" t="s">
        <v>33</v>
      </c>
      <c r="E372" t="s">
        <v>34</v>
      </c>
      <c r="F372" t="str">
        <f>"0000699"</f>
        <v>0000699</v>
      </c>
      <c r="G372">
        <v>1</v>
      </c>
      <c r="H372" t="str">
        <f>"00000000"</f>
        <v>00000000</v>
      </c>
      <c r="I372" t="s">
        <v>35</v>
      </c>
      <c r="J372"/>
      <c r="K372">
        <v>25.81</v>
      </c>
      <c r="L372">
        <v>0.0</v>
      </c>
      <c r="M372"/>
      <c r="N372"/>
      <c r="O372">
        <v>4.65</v>
      </c>
      <c r="P372">
        <v>0.2</v>
      </c>
      <c r="Q372">
        <v>30.65</v>
      </c>
      <c r="R372"/>
      <c r="S372"/>
      <c r="T372"/>
      <c r="U372"/>
      <c r="V372"/>
      <c r="W372">
        <v>18</v>
      </c>
    </row>
    <row r="373" spans="1:23">
      <c r="A373"/>
      <c r="B373" t="s">
        <v>45</v>
      </c>
      <c r="C373" t="s">
        <v>45</v>
      </c>
      <c r="D373" t="s">
        <v>33</v>
      </c>
      <c r="E373" t="s">
        <v>34</v>
      </c>
      <c r="F373" t="str">
        <f>"0000700"</f>
        <v>0000700</v>
      </c>
      <c r="G373">
        <v>1</v>
      </c>
      <c r="H373" t="str">
        <f>"00000000"</f>
        <v>00000000</v>
      </c>
      <c r="I373" t="s">
        <v>35</v>
      </c>
      <c r="J373"/>
      <c r="K373">
        <v>6.36</v>
      </c>
      <c r="L373">
        <v>0.0</v>
      </c>
      <c r="M373"/>
      <c r="N373"/>
      <c r="O373">
        <v>1.14</v>
      </c>
      <c r="P373">
        <v>0.2</v>
      </c>
      <c r="Q373">
        <v>7.7</v>
      </c>
      <c r="R373"/>
      <c r="S373"/>
      <c r="T373"/>
      <c r="U373"/>
      <c r="V373"/>
      <c r="W373">
        <v>18</v>
      </c>
    </row>
    <row r="374" spans="1:23">
      <c r="A374"/>
      <c r="B374" t="s">
        <v>45</v>
      </c>
      <c r="C374" t="s">
        <v>45</v>
      </c>
      <c r="D374" t="s">
        <v>33</v>
      </c>
      <c r="E374" t="s">
        <v>34</v>
      </c>
      <c r="F374" t="str">
        <f>"0000701"</f>
        <v>0000701</v>
      </c>
      <c r="G374">
        <v>1</v>
      </c>
      <c r="H374" t="str">
        <f>"00000000"</f>
        <v>00000000</v>
      </c>
      <c r="I374" t="s">
        <v>35</v>
      </c>
      <c r="J374"/>
      <c r="K374">
        <v>6.02</v>
      </c>
      <c r="L374">
        <v>0.0</v>
      </c>
      <c r="M374"/>
      <c r="N374"/>
      <c r="O374">
        <v>1.08</v>
      </c>
      <c r="P374">
        <v>0.2</v>
      </c>
      <c r="Q374">
        <v>7.3</v>
      </c>
      <c r="R374"/>
      <c r="S374"/>
      <c r="T374"/>
      <c r="U374"/>
      <c r="V374"/>
      <c r="W374">
        <v>18</v>
      </c>
    </row>
    <row r="375" spans="1:23">
      <c r="A375"/>
      <c r="B375" t="s">
        <v>45</v>
      </c>
      <c r="C375" t="s">
        <v>45</v>
      </c>
      <c r="D375" t="s">
        <v>33</v>
      </c>
      <c r="E375" t="s">
        <v>34</v>
      </c>
      <c r="F375" t="str">
        <f>"0000702"</f>
        <v>0000702</v>
      </c>
      <c r="G375">
        <v>1</v>
      </c>
      <c r="H375" t="str">
        <f>"00000000"</f>
        <v>00000000</v>
      </c>
      <c r="I375" t="s">
        <v>35</v>
      </c>
      <c r="J375"/>
      <c r="K375">
        <v>11.13</v>
      </c>
      <c r="L375">
        <v>0.0</v>
      </c>
      <c r="M375"/>
      <c r="N375"/>
      <c r="O375">
        <v>2.0</v>
      </c>
      <c r="P375">
        <v>0.2</v>
      </c>
      <c r="Q375">
        <v>13.33</v>
      </c>
      <c r="R375"/>
      <c r="S375"/>
      <c r="T375"/>
      <c r="U375"/>
      <c r="V375"/>
      <c r="W375">
        <v>18</v>
      </c>
    </row>
    <row r="376" spans="1:23">
      <c r="A376"/>
      <c r="B376" t="s">
        <v>45</v>
      </c>
      <c r="C376" t="s">
        <v>45</v>
      </c>
      <c r="D376" t="s">
        <v>33</v>
      </c>
      <c r="E376" t="s">
        <v>34</v>
      </c>
      <c r="F376" t="str">
        <f>"0000703"</f>
        <v>0000703</v>
      </c>
      <c r="G376">
        <v>1</v>
      </c>
      <c r="H376" t="str">
        <f>"00000000"</f>
        <v>00000000</v>
      </c>
      <c r="I376" t="s">
        <v>35</v>
      </c>
      <c r="J376"/>
      <c r="K376">
        <v>2.46</v>
      </c>
      <c r="L376">
        <v>0.0</v>
      </c>
      <c r="M376"/>
      <c r="N376"/>
      <c r="O376">
        <v>0.44</v>
      </c>
      <c r="P376">
        <v>0.0</v>
      </c>
      <c r="Q376">
        <v>2.9</v>
      </c>
      <c r="R376"/>
      <c r="S376"/>
      <c r="T376"/>
      <c r="U376"/>
      <c r="V376"/>
      <c r="W376">
        <v>18</v>
      </c>
    </row>
    <row r="377" spans="1:23">
      <c r="A377"/>
      <c r="B377" t="s">
        <v>45</v>
      </c>
      <c r="C377" t="s">
        <v>45</v>
      </c>
      <c r="D377" t="s">
        <v>33</v>
      </c>
      <c r="E377" t="s">
        <v>34</v>
      </c>
      <c r="F377" t="str">
        <f>"0000704"</f>
        <v>0000704</v>
      </c>
      <c r="G377">
        <v>1</v>
      </c>
      <c r="H377" t="str">
        <f>"00000000"</f>
        <v>00000000</v>
      </c>
      <c r="I377" t="s">
        <v>35</v>
      </c>
      <c r="J377"/>
      <c r="K377">
        <v>0.08</v>
      </c>
      <c r="L377">
        <v>0.0</v>
      </c>
      <c r="M377"/>
      <c r="N377"/>
      <c r="O377">
        <v>0.02</v>
      </c>
      <c r="P377">
        <v>0.2</v>
      </c>
      <c r="Q377">
        <v>0.3</v>
      </c>
      <c r="R377"/>
      <c r="S377"/>
      <c r="T377"/>
      <c r="U377"/>
      <c r="V377"/>
      <c r="W377">
        <v>18</v>
      </c>
    </row>
    <row r="378" spans="1:23">
      <c r="A378"/>
      <c r="B378" t="s">
        <v>45</v>
      </c>
      <c r="C378" t="s">
        <v>45</v>
      </c>
      <c r="D378" t="s">
        <v>33</v>
      </c>
      <c r="E378" t="s">
        <v>34</v>
      </c>
      <c r="F378" t="str">
        <f>"0000705"</f>
        <v>0000705</v>
      </c>
      <c r="G378">
        <v>1</v>
      </c>
      <c r="H378" t="str">
        <f>"00000000"</f>
        <v>00000000</v>
      </c>
      <c r="I378" t="s">
        <v>35</v>
      </c>
      <c r="J378"/>
      <c r="K378">
        <v>24.5</v>
      </c>
      <c r="L378">
        <v>0.0</v>
      </c>
      <c r="M378"/>
      <c r="N378"/>
      <c r="O378">
        <v>4.41</v>
      </c>
      <c r="P378">
        <v>0.2</v>
      </c>
      <c r="Q378">
        <v>29.11</v>
      </c>
      <c r="R378"/>
      <c r="S378"/>
      <c r="T378"/>
      <c r="U378"/>
      <c r="V378"/>
      <c r="W378">
        <v>18</v>
      </c>
    </row>
    <row r="379" spans="1:23">
      <c r="A379"/>
      <c r="B379" t="s">
        <v>45</v>
      </c>
      <c r="C379" t="s">
        <v>45</v>
      </c>
      <c r="D379" t="s">
        <v>33</v>
      </c>
      <c r="E379" t="s">
        <v>34</v>
      </c>
      <c r="F379" t="str">
        <f>"0000706"</f>
        <v>0000706</v>
      </c>
      <c r="G379">
        <v>1</v>
      </c>
      <c r="H379" t="str">
        <f>"00000000"</f>
        <v>00000000</v>
      </c>
      <c r="I379" t="s">
        <v>35</v>
      </c>
      <c r="J379"/>
      <c r="K379">
        <v>4.32</v>
      </c>
      <c r="L379">
        <v>0.0</v>
      </c>
      <c r="M379"/>
      <c r="N379"/>
      <c r="O379">
        <v>0.78</v>
      </c>
      <c r="P379">
        <v>0.0</v>
      </c>
      <c r="Q379">
        <v>5.1</v>
      </c>
      <c r="R379"/>
      <c r="S379"/>
      <c r="T379"/>
      <c r="U379"/>
      <c r="V379"/>
      <c r="W379">
        <v>18</v>
      </c>
    </row>
    <row r="380" spans="1:23">
      <c r="A380"/>
      <c r="B380" t="s">
        <v>45</v>
      </c>
      <c r="C380" t="s">
        <v>45</v>
      </c>
      <c r="D380" t="s">
        <v>33</v>
      </c>
      <c r="E380" t="s">
        <v>34</v>
      </c>
      <c r="F380" t="str">
        <f>"0000707"</f>
        <v>0000707</v>
      </c>
      <c r="G380">
        <v>1</v>
      </c>
      <c r="H380" t="str">
        <f>"00000000"</f>
        <v>00000000</v>
      </c>
      <c r="I380" t="s">
        <v>35</v>
      </c>
      <c r="J380"/>
      <c r="K380">
        <v>5.34</v>
      </c>
      <c r="L380">
        <v>0.0</v>
      </c>
      <c r="M380"/>
      <c r="N380"/>
      <c r="O380">
        <v>0.96</v>
      </c>
      <c r="P380">
        <v>0.0</v>
      </c>
      <c r="Q380">
        <v>6.3</v>
      </c>
      <c r="R380"/>
      <c r="S380"/>
      <c r="T380"/>
      <c r="U380"/>
      <c r="V380"/>
      <c r="W380">
        <v>18</v>
      </c>
    </row>
    <row r="381" spans="1:23">
      <c r="A381"/>
      <c r="B381" t="s">
        <v>45</v>
      </c>
      <c r="C381" t="s">
        <v>45</v>
      </c>
      <c r="D381" t="s">
        <v>33</v>
      </c>
      <c r="E381" t="s">
        <v>34</v>
      </c>
      <c r="F381" t="str">
        <f>"0000708"</f>
        <v>0000708</v>
      </c>
      <c r="G381">
        <v>1</v>
      </c>
      <c r="H381" t="str">
        <f>"00000000"</f>
        <v>00000000</v>
      </c>
      <c r="I381" t="s">
        <v>35</v>
      </c>
      <c r="J381"/>
      <c r="K381">
        <v>8.62</v>
      </c>
      <c r="L381">
        <v>0.0</v>
      </c>
      <c r="M381"/>
      <c r="N381"/>
      <c r="O381">
        <v>1.55</v>
      </c>
      <c r="P381">
        <v>0.0</v>
      </c>
      <c r="Q381">
        <v>10.17</v>
      </c>
      <c r="R381"/>
      <c r="S381"/>
      <c r="T381"/>
      <c r="U381"/>
      <c r="V381"/>
      <c r="W381">
        <v>18</v>
      </c>
    </row>
    <row r="382" spans="1:23">
      <c r="A382"/>
      <c r="B382" t="s">
        <v>45</v>
      </c>
      <c r="C382" t="s">
        <v>45</v>
      </c>
      <c r="D382" t="s">
        <v>33</v>
      </c>
      <c r="E382" t="s">
        <v>34</v>
      </c>
      <c r="F382" t="str">
        <f>"0000709"</f>
        <v>0000709</v>
      </c>
      <c r="G382">
        <v>1</v>
      </c>
      <c r="H382" t="str">
        <f>"00000000"</f>
        <v>00000000</v>
      </c>
      <c r="I382" t="s">
        <v>35</v>
      </c>
      <c r="J382"/>
      <c r="K382">
        <v>23.37</v>
      </c>
      <c r="L382">
        <v>0.0</v>
      </c>
      <c r="M382"/>
      <c r="N382"/>
      <c r="O382">
        <v>4.21</v>
      </c>
      <c r="P382">
        <v>0.2</v>
      </c>
      <c r="Q382">
        <v>27.77</v>
      </c>
      <c r="R382"/>
      <c r="S382"/>
      <c r="T382"/>
      <c r="U382"/>
      <c r="V382"/>
      <c r="W382">
        <v>18</v>
      </c>
    </row>
    <row r="383" spans="1:23">
      <c r="A383"/>
      <c r="B383" t="s">
        <v>45</v>
      </c>
      <c r="C383" t="s">
        <v>45</v>
      </c>
      <c r="D383" t="s">
        <v>33</v>
      </c>
      <c r="E383" t="s">
        <v>34</v>
      </c>
      <c r="F383" t="str">
        <f>"0000710"</f>
        <v>0000710</v>
      </c>
      <c r="G383">
        <v>1</v>
      </c>
      <c r="H383" t="str">
        <f>"00000000"</f>
        <v>00000000</v>
      </c>
      <c r="I383" t="s">
        <v>35</v>
      </c>
      <c r="J383"/>
      <c r="K383">
        <v>17.2</v>
      </c>
      <c r="L383">
        <v>0.0</v>
      </c>
      <c r="M383"/>
      <c r="N383"/>
      <c r="O383">
        <v>3.1</v>
      </c>
      <c r="P383">
        <v>0.2</v>
      </c>
      <c r="Q383">
        <v>20.5</v>
      </c>
      <c r="R383"/>
      <c r="S383"/>
      <c r="T383"/>
      <c r="U383"/>
      <c r="V383"/>
      <c r="W383">
        <v>18</v>
      </c>
    </row>
    <row r="384" spans="1:23">
      <c r="A384"/>
      <c r="B384" t="s">
        <v>45</v>
      </c>
      <c r="C384" t="s">
        <v>45</v>
      </c>
      <c r="D384" t="s">
        <v>33</v>
      </c>
      <c r="E384" t="s">
        <v>34</v>
      </c>
      <c r="F384" t="str">
        <f>"0000711"</f>
        <v>0000711</v>
      </c>
      <c r="G384">
        <v>1</v>
      </c>
      <c r="H384" t="str">
        <f>"00000000"</f>
        <v>00000000</v>
      </c>
      <c r="I384" t="s">
        <v>35</v>
      </c>
      <c r="J384"/>
      <c r="K384">
        <v>24.18</v>
      </c>
      <c r="L384">
        <v>0.0</v>
      </c>
      <c r="M384"/>
      <c r="N384"/>
      <c r="O384">
        <v>4.35</v>
      </c>
      <c r="P384">
        <v>0.0</v>
      </c>
      <c r="Q384">
        <v>28.54</v>
      </c>
      <c r="R384"/>
      <c r="S384"/>
      <c r="T384"/>
      <c r="U384"/>
      <c r="V384"/>
      <c r="W384">
        <v>18</v>
      </c>
    </row>
    <row r="385" spans="1:23">
      <c r="A385"/>
      <c r="B385" t="s">
        <v>45</v>
      </c>
      <c r="C385" t="s">
        <v>45</v>
      </c>
      <c r="D385" t="s">
        <v>33</v>
      </c>
      <c r="E385" t="s">
        <v>34</v>
      </c>
      <c r="F385" t="str">
        <f>"0000712"</f>
        <v>0000712</v>
      </c>
      <c r="G385">
        <v>1</v>
      </c>
      <c r="H385" t="str">
        <f>"00000000"</f>
        <v>00000000</v>
      </c>
      <c r="I385" t="s">
        <v>35</v>
      </c>
      <c r="J385"/>
      <c r="K385">
        <v>24.94</v>
      </c>
      <c r="L385">
        <v>0.0</v>
      </c>
      <c r="M385"/>
      <c r="N385"/>
      <c r="O385">
        <v>4.49</v>
      </c>
      <c r="P385">
        <v>0.2</v>
      </c>
      <c r="Q385">
        <v>29.63</v>
      </c>
      <c r="R385"/>
      <c r="S385"/>
      <c r="T385"/>
      <c r="U385"/>
      <c r="V385"/>
      <c r="W385">
        <v>18</v>
      </c>
    </row>
    <row r="386" spans="1:23">
      <c r="A386"/>
      <c r="B386" t="s">
        <v>45</v>
      </c>
      <c r="C386" t="s">
        <v>45</v>
      </c>
      <c r="D386" t="s">
        <v>33</v>
      </c>
      <c r="E386" t="s">
        <v>34</v>
      </c>
      <c r="F386" t="str">
        <f>"0000713"</f>
        <v>0000713</v>
      </c>
      <c r="G386">
        <v>1</v>
      </c>
      <c r="H386" t="str">
        <f>"00000000"</f>
        <v>00000000</v>
      </c>
      <c r="I386" t="s">
        <v>35</v>
      </c>
      <c r="J386"/>
      <c r="K386">
        <v>3.81</v>
      </c>
      <c r="L386">
        <v>0.0</v>
      </c>
      <c r="M386"/>
      <c r="N386"/>
      <c r="O386">
        <v>0.69</v>
      </c>
      <c r="P386">
        <v>0.0</v>
      </c>
      <c r="Q386">
        <v>4.5</v>
      </c>
      <c r="R386"/>
      <c r="S386"/>
      <c r="T386"/>
      <c r="U386"/>
      <c r="V386"/>
      <c r="W386">
        <v>18</v>
      </c>
    </row>
    <row r="387" spans="1:23">
      <c r="A387"/>
      <c r="B387" t="s">
        <v>45</v>
      </c>
      <c r="C387" t="s">
        <v>45</v>
      </c>
      <c r="D387" t="s">
        <v>33</v>
      </c>
      <c r="E387" t="s">
        <v>34</v>
      </c>
      <c r="F387" t="str">
        <f>"0000714"</f>
        <v>0000714</v>
      </c>
      <c r="G387">
        <v>1</v>
      </c>
      <c r="H387" t="str">
        <f>"00000000"</f>
        <v>00000000</v>
      </c>
      <c r="I387" t="s">
        <v>35</v>
      </c>
      <c r="J387"/>
      <c r="K387">
        <v>27.2</v>
      </c>
      <c r="L387">
        <v>0.0</v>
      </c>
      <c r="M387"/>
      <c r="N387"/>
      <c r="O387">
        <v>4.9</v>
      </c>
      <c r="P387">
        <v>0.2</v>
      </c>
      <c r="Q387">
        <v>32.3</v>
      </c>
      <c r="R387"/>
      <c r="S387"/>
      <c r="T387"/>
      <c r="U387"/>
      <c r="V387"/>
      <c r="W387">
        <v>18</v>
      </c>
    </row>
    <row r="388" spans="1:23">
      <c r="A388"/>
      <c r="B388" t="s">
        <v>45</v>
      </c>
      <c r="C388" t="s">
        <v>45</v>
      </c>
      <c r="D388" t="s">
        <v>33</v>
      </c>
      <c r="E388" t="s">
        <v>34</v>
      </c>
      <c r="F388" t="str">
        <f>"0000715"</f>
        <v>0000715</v>
      </c>
      <c r="G388">
        <v>1</v>
      </c>
      <c r="H388" t="str">
        <f>"00000000"</f>
        <v>00000000</v>
      </c>
      <c r="I388" t="s">
        <v>35</v>
      </c>
      <c r="J388"/>
      <c r="K388">
        <v>15.29</v>
      </c>
      <c r="L388">
        <v>0.0</v>
      </c>
      <c r="M388"/>
      <c r="N388"/>
      <c r="O388">
        <v>2.75</v>
      </c>
      <c r="P388">
        <v>0.0</v>
      </c>
      <c r="Q388">
        <v>18.04</v>
      </c>
      <c r="R388"/>
      <c r="S388"/>
      <c r="T388"/>
      <c r="U388"/>
      <c r="V388"/>
      <c r="W388">
        <v>18</v>
      </c>
    </row>
    <row r="389" spans="1:23">
      <c r="A389"/>
      <c r="B389" t="s">
        <v>45</v>
      </c>
      <c r="C389" t="s">
        <v>45</v>
      </c>
      <c r="D389" t="s">
        <v>33</v>
      </c>
      <c r="E389" t="s">
        <v>34</v>
      </c>
      <c r="F389" t="str">
        <f>"0000716"</f>
        <v>0000716</v>
      </c>
      <c r="G389">
        <v>1</v>
      </c>
      <c r="H389" t="str">
        <f>"00000000"</f>
        <v>00000000</v>
      </c>
      <c r="I389" t="s">
        <v>35</v>
      </c>
      <c r="J389"/>
      <c r="K389">
        <v>45.17</v>
      </c>
      <c r="L389">
        <v>0.0</v>
      </c>
      <c r="M389"/>
      <c r="N389"/>
      <c r="O389">
        <v>8.13</v>
      </c>
      <c r="P389">
        <v>0.0</v>
      </c>
      <c r="Q389">
        <v>53.3</v>
      </c>
      <c r="R389"/>
      <c r="S389"/>
      <c r="T389"/>
      <c r="U389"/>
      <c r="V389"/>
      <c r="W389">
        <v>18</v>
      </c>
    </row>
    <row r="390" spans="1:23">
      <c r="A390"/>
      <c r="B390" t="s">
        <v>45</v>
      </c>
      <c r="C390" t="s">
        <v>45</v>
      </c>
      <c r="D390" t="s">
        <v>33</v>
      </c>
      <c r="E390" t="s">
        <v>34</v>
      </c>
      <c r="F390" t="str">
        <f>"0000717"</f>
        <v>0000717</v>
      </c>
      <c r="G390">
        <v>1</v>
      </c>
      <c r="H390" t="str">
        <f>"00000000"</f>
        <v>00000000</v>
      </c>
      <c r="I390" t="s">
        <v>35</v>
      </c>
      <c r="J390"/>
      <c r="K390">
        <v>23.81</v>
      </c>
      <c r="L390">
        <v>0.0</v>
      </c>
      <c r="M390"/>
      <c r="N390"/>
      <c r="O390">
        <v>4.29</v>
      </c>
      <c r="P390">
        <v>0.2</v>
      </c>
      <c r="Q390">
        <v>28.3</v>
      </c>
      <c r="R390"/>
      <c r="S390"/>
      <c r="T390"/>
      <c r="U390"/>
      <c r="V390"/>
      <c r="W390">
        <v>18</v>
      </c>
    </row>
    <row r="391" spans="1:23">
      <c r="A391"/>
      <c r="B391" t="s">
        <v>45</v>
      </c>
      <c r="C391" t="s">
        <v>45</v>
      </c>
      <c r="D391" t="s">
        <v>33</v>
      </c>
      <c r="E391" t="s">
        <v>34</v>
      </c>
      <c r="F391" t="str">
        <f>"0000718"</f>
        <v>0000718</v>
      </c>
      <c r="G391">
        <v>1</v>
      </c>
      <c r="H391" t="str">
        <f>"00000000"</f>
        <v>00000000</v>
      </c>
      <c r="I391" t="s">
        <v>35</v>
      </c>
      <c r="J391"/>
      <c r="K391">
        <v>15.59</v>
      </c>
      <c r="L391">
        <v>0.0</v>
      </c>
      <c r="M391"/>
      <c r="N391"/>
      <c r="O391">
        <v>2.81</v>
      </c>
      <c r="P391">
        <v>0.0</v>
      </c>
      <c r="Q391">
        <v>18.4</v>
      </c>
      <c r="R391"/>
      <c r="S391"/>
      <c r="T391"/>
      <c r="U391"/>
      <c r="V391"/>
      <c r="W391">
        <v>18</v>
      </c>
    </row>
    <row r="392" spans="1:23">
      <c r="A392"/>
      <c r="B392" t="s">
        <v>45</v>
      </c>
      <c r="C392" t="s">
        <v>45</v>
      </c>
      <c r="D392" t="s">
        <v>33</v>
      </c>
      <c r="E392" t="s">
        <v>34</v>
      </c>
      <c r="F392" t="str">
        <f>"0000719"</f>
        <v>0000719</v>
      </c>
      <c r="G392">
        <v>1</v>
      </c>
      <c r="H392" t="str">
        <f>"00000000"</f>
        <v>00000000</v>
      </c>
      <c r="I392" t="s">
        <v>35</v>
      </c>
      <c r="J392"/>
      <c r="K392">
        <v>59.09</v>
      </c>
      <c r="L392">
        <v>0.0</v>
      </c>
      <c r="M392"/>
      <c r="N392"/>
      <c r="O392">
        <v>10.64</v>
      </c>
      <c r="P392">
        <v>0.6</v>
      </c>
      <c r="Q392">
        <v>70.32</v>
      </c>
      <c r="R392"/>
      <c r="S392"/>
      <c r="T392"/>
      <c r="U392"/>
      <c r="V392"/>
      <c r="W392">
        <v>18</v>
      </c>
    </row>
    <row r="393" spans="1:23">
      <c r="A393"/>
      <c r="B393" t="s">
        <v>45</v>
      </c>
      <c r="C393" t="s">
        <v>45</v>
      </c>
      <c r="D393" t="s">
        <v>33</v>
      </c>
      <c r="E393" t="s">
        <v>34</v>
      </c>
      <c r="F393" t="str">
        <f>"0000720"</f>
        <v>0000720</v>
      </c>
      <c r="G393">
        <v>1</v>
      </c>
      <c r="H393" t="str">
        <f>"00000000"</f>
        <v>00000000</v>
      </c>
      <c r="I393" t="s">
        <v>35</v>
      </c>
      <c r="J393"/>
      <c r="K393">
        <v>12.29</v>
      </c>
      <c r="L393">
        <v>0.0</v>
      </c>
      <c r="M393"/>
      <c r="N393"/>
      <c r="O393">
        <v>2.21</v>
      </c>
      <c r="P393">
        <v>0.2</v>
      </c>
      <c r="Q393">
        <v>14.7</v>
      </c>
      <c r="R393"/>
      <c r="S393"/>
      <c r="T393"/>
      <c r="U393"/>
      <c r="V393"/>
      <c r="W393">
        <v>18</v>
      </c>
    </row>
    <row r="394" spans="1:23">
      <c r="A394"/>
      <c r="B394" t="s">
        <v>45</v>
      </c>
      <c r="C394" t="s">
        <v>45</v>
      </c>
      <c r="D394" t="s">
        <v>33</v>
      </c>
      <c r="E394" t="s">
        <v>34</v>
      </c>
      <c r="F394" t="str">
        <f>"0000721"</f>
        <v>0000721</v>
      </c>
      <c r="G394">
        <v>1</v>
      </c>
      <c r="H394" t="str">
        <f>"00000000"</f>
        <v>00000000</v>
      </c>
      <c r="I394" t="s">
        <v>35</v>
      </c>
      <c r="J394"/>
      <c r="K394">
        <v>6.36</v>
      </c>
      <c r="L394">
        <v>0.0</v>
      </c>
      <c r="M394"/>
      <c r="N394"/>
      <c r="O394">
        <v>1.14</v>
      </c>
      <c r="P394">
        <v>0.0</v>
      </c>
      <c r="Q394">
        <v>7.5</v>
      </c>
      <c r="R394"/>
      <c r="S394"/>
      <c r="T394"/>
      <c r="U394"/>
      <c r="V394"/>
      <c r="W394">
        <v>18</v>
      </c>
    </row>
    <row r="395" spans="1:23">
      <c r="A395"/>
      <c r="B395" t="s">
        <v>45</v>
      </c>
      <c r="C395" t="s">
        <v>45</v>
      </c>
      <c r="D395" t="s">
        <v>33</v>
      </c>
      <c r="E395" t="s">
        <v>34</v>
      </c>
      <c r="F395" t="str">
        <f>"0000722"</f>
        <v>0000722</v>
      </c>
      <c r="G395">
        <v>1</v>
      </c>
      <c r="H395" t="str">
        <f>"00000000"</f>
        <v>00000000</v>
      </c>
      <c r="I395" t="s">
        <v>35</v>
      </c>
      <c r="J395"/>
      <c r="K395">
        <v>44.65</v>
      </c>
      <c r="L395">
        <v>0.0</v>
      </c>
      <c r="M395"/>
      <c r="N395"/>
      <c r="O395">
        <v>8.04</v>
      </c>
      <c r="P395">
        <v>0.2</v>
      </c>
      <c r="Q395">
        <v>52.89</v>
      </c>
      <c r="R395"/>
      <c r="S395"/>
      <c r="T395"/>
      <c r="U395"/>
      <c r="V395"/>
      <c r="W395">
        <v>18</v>
      </c>
    </row>
    <row r="396" spans="1:23">
      <c r="A396"/>
      <c r="B396" t="s">
        <v>45</v>
      </c>
      <c r="C396" t="s">
        <v>45</v>
      </c>
      <c r="D396" t="s">
        <v>33</v>
      </c>
      <c r="E396" t="s">
        <v>34</v>
      </c>
      <c r="F396" t="str">
        <f>"0000723"</f>
        <v>0000723</v>
      </c>
      <c r="G396">
        <v>1</v>
      </c>
      <c r="H396" t="str">
        <f>"00000000"</f>
        <v>00000000</v>
      </c>
      <c r="I396" t="s">
        <v>35</v>
      </c>
      <c r="J396"/>
      <c r="K396">
        <v>10.0</v>
      </c>
      <c r="L396">
        <v>0.0</v>
      </c>
      <c r="M396"/>
      <c r="N396"/>
      <c r="O396">
        <v>1.8</v>
      </c>
      <c r="P396">
        <v>0.2</v>
      </c>
      <c r="Q396">
        <v>12.01</v>
      </c>
      <c r="R396"/>
      <c r="S396"/>
      <c r="T396"/>
      <c r="U396"/>
      <c r="V396"/>
      <c r="W396">
        <v>18</v>
      </c>
    </row>
    <row r="397" spans="1:23">
      <c r="A397"/>
      <c r="B397" t="s">
        <v>45</v>
      </c>
      <c r="C397" t="s">
        <v>45</v>
      </c>
      <c r="D397" t="s">
        <v>33</v>
      </c>
      <c r="E397" t="s">
        <v>34</v>
      </c>
      <c r="F397" t="str">
        <f>"0000724"</f>
        <v>0000724</v>
      </c>
      <c r="G397">
        <v>1</v>
      </c>
      <c r="H397" t="str">
        <f>"00000000"</f>
        <v>00000000</v>
      </c>
      <c r="I397" t="s">
        <v>35</v>
      </c>
      <c r="J397"/>
      <c r="K397">
        <v>5.17</v>
      </c>
      <c r="L397">
        <v>0.0</v>
      </c>
      <c r="M397"/>
      <c r="N397"/>
      <c r="O397">
        <v>0.93</v>
      </c>
      <c r="P397">
        <v>0.0</v>
      </c>
      <c r="Q397">
        <v>6.1</v>
      </c>
      <c r="R397"/>
      <c r="S397"/>
      <c r="T397"/>
      <c r="U397"/>
      <c r="V397"/>
      <c r="W397">
        <v>18</v>
      </c>
    </row>
    <row r="398" spans="1:23">
      <c r="A398"/>
      <c r="B398" t="s">
        <v>45</v>
      </c>
      <c r="C398" t="s">
        <v>45</v>
      </c>
      <c r="D398" t="s">
        <v>33</v>
      </c>
      <c r="E398" t="s">
        <v>34</v>
      </c>
      <c r="F398" t="str">
        <f>"0000725"</f>
        <v>0000725</v>
      </c>
      <c r="G398">
        <v>1</v>
      </c>
      <c r="H398" t="str">
        <f>"00000000"</f>
        <v>00000000</v>
      </c>
      <c r="I398" t="s">
        <v>35</v>
      </c>
      <c r="J398"/>
      <c r="K398">
        <v>16.49</v>
      </c>
      <c r="L398">
        <v>0.0</v>
      </c>
      <c r="M398"/>
      <c r="N398"/>
      <c r="O398">
        <v>2.97</v>
      </c>
      <c r="P398">
        <v>0.0</v>
      </c>
      <c r="Q398">
        <v>19.46</v>
      </c>
      <c r="R398"/>
      <c r="S398"/>
      <c r="T398"/>
      <c r="U398"/>
      <c r="V398"/>
      <c r="W398">
        <v>18</v>
      </c>
    </row>
    <row r="399" spans="1:23">
      <c r="A399"/>
      <c r="B399" t="s">
        <v>45</v>
      </c>
      <c r="C399" t="s">
        <v>45</v>
      </c>
      <c r="D399" t="s">
        <v>33</v>
      </c>
      <c r="E399" t="s">
        <v>34</v>
      </c>
      <c r="F399" t="str">
        <f>"0000726"</f>
        <v>0000726</v>
      </c>
      <c r="G399">
        <v>1</v>
      </c>
      <c r="H399" t="str">
        <f>"00000000"</f>
        <v>00000000</v>
      </c>
      <c r="I399" t="s">
        <v>35</v>
      </c>
      <c r="J399"/>
      <c r="K399">
        <v>6.39</v>
      </c>
      <c r="L399">
        <v>0.0</v>
      </c>
      <c r="M399"/>
      <c r="N399"/>
      <c r="O399">
        <v>1.15</v>
      </c>
      <c r="P399">
        <v>0.0</v>
      </c>
      <c r="Q399">
        <v>7.54</v>
      </c>
      <c r="R399"/>
      <c r="S399"/>
      <c r="T399"/>
      <c r="U399"/>
      <c r="V399"/>
      <c r="W399">
        <v>18</v>
      </c>
    </row>
    <row r="400" spans="1:23">
      <c r="A400"/>
      <c r="B400" t="s">
        <v>46</v>
      </c>
      <c r="C400" t="s">
        <v>46</v>
      </c>
      <c r="D400" t="s">
        <v>33</v>
      </c>
      <c r="E400" t="s">
        <v>34</v>
      </c>
      <c r="F400" t="str">
        <f>"0000727"</f>
        <v>0000727</v>
      </c>
      <c r="G400">
        <v>1</v>
      </c>
      <c r="H400" t="str">
        <f>"00000000"</f>
        <v>00000000</v>
      </c>
      <c r="I400" t="s">
        <v>35</v>
      </c>
      <c r="J400"/>
      <c r="K400">
        <v>8.98</v>
      </c>
      <c r="L400">
        <v>0.0</v>
      </c>
      <c r="M400"/>
      <c r="N400"/>
      <c r="O400">
        <v>1.62</v>
      </c>
      <c r="P400">
        <v>0.0</v>
      </c>
      <c r="Q400">
        <v>10.59</v>
      </c>
      <c r="R400"/>
      <c r="S400"/>
      <c r="T400"/>
      <c r="U400"/>
      <c r="V400"/>
      <c r="W400">
        <v>18</v>
      </c>
    </row>
    <row r="401" spans="1:23">
      <c r="A401"/>
      <c r="B401" t="s">
        <v>46</v>
      </c>
      <c r="C401" t="s">
        <v>46</v>
      </c>
      <c r="D401" t="s">
        <v>33</v>
      </c>
      <c r="E401" t="s">
        <v>34</v>
      </c>
      <c r="F401" t="str">
        <f>"0000728"</f>
        <v>0000728</v>
      </c>
      <c r="G401">
        <v>1</v>
      </c>
      <c r="H401" t="str">
        <f>"00000000"</f>
        <v>00000000</v>
      </c>
      <c r="I401" t="s">
        <v>35</v>
      </c>
      <c r="J401"/>
      <c r="K401">
        <v>8.63</v>
      </c>
      <c r="L401">
        <v>0.0</v>
      </c>
      <c r="M401"/>
      <c r="N401"/>
      <c r="O401">
        <v>1.55</v>
      </c>
      <c r="P401">
        <v>0.0</v>
      </c>
      <c r="Q401">
        <v>10.18</v>
      </c>
      <c r="R401"/>
      <c r="S401"/>
      <c r="T401"/>
      <c r="U401"/>
      <c r="V401"/>
      <c r="W401">
        <v>18</v>
      </c>
    </row>
    <row r="402" spans="1:23">
      <c r="A402"/>
      <c r="B402" t="s">
        <v>46</v>
      </c>
      <c r="C402" t="s">
        <v>46</v>
      </c>
      <c r="D402" t="s">
        <v>33</v>
      </c>
      <c r="E402" t="s">
        <v>34</v>
      </c>
      <c r="F402" t="str">
        <f>"0000729"</f>
        <v>0000729</v>
      </c>
      <c r="G402">
        <v>1</v>
      </c>
      <c r="H402" t="str">
        <f>"00000000"</f>
        <v>00000000</v>
      </c>
      <c r="I402" t="s">
        <v>35</v>
      </c>
      <c r="J402"/>
      <c r="K402">
        <v>2.37</v>
      </c>
      <c r="L402">
        <v>0.0</v>
      </c>
      <c r="M402"/>
      <c r="N402"/>
      <c r="O402">
        <v>0.43</v>
      </c>
      <c r="P402">
        <v>0.0</v>
      </c>
      <c r="Q402">
        <v>2.8</v>
      </c>
      <c r="R402"/>
      <c r="S402"/>
      <c r="T402"/>
      <c r="U402"/>
      <c r="V402"/>
      <c r="W402">
        <v>18</v>
      </c>
    </row>
    <row r="403" spans="1:23">
      <c r="A403"/>
      <c r="B403" t="s">
        <v>46</v>
      </c>
      <c r="C403" t="s">
        <v>46</v>
      </c>
      <c r="D403" t="s">
        <v>33</v>
      </c>
      <c r="E403" t="s">
        <v>34</v>
      </c>
      <c r="F403" t="str">
        <f>"0000730"</f>
        <v>0000730</v>
      </c>
      <c r="G403">
        <v>1</v>
      </c>
      <c r="H403" t="str">
        <f>"00000000"</f>
        <v>00000000</v>
      </c>
      <c r="I403" t="s">
        <v>35</v>
      </c>
      <c r="J403"/>
      <c r="K403">
        <v>62.59</v>
      </c>
      <c r="L403">
        <v>0.0</v>
      </c>
      <c r="M403"/>
      <c r="N403"/>
      <c r="O403">
        <v>11.27</v>
      </c>
      <c r="P403">
        <v>0.2</v>
      </c>
      <c r="Q403">
        <v>74.06</v>
      </c>
      <c r="R403"/>
      <c r="S403"/>
      <c r="T403"/>
      <c r="U403"/>
      <c r="V403"/>
      <c r="W403">
        <v>18</v>
      </c>
    </row>
    <row r="404" spans="1:23">
      <c r="A404"/>
      <c r="B404" t="s">
        <v>46</v>
      </c>
      <c r="C404" t="s">
        <v>46</v>
      </c>
      <c r="D404" t="s">
        <v>33</v>
      </c>
      <c r="E404" t="s">
        <v>34</v>
      </c>
      <c r="F404" t="str">
        <f>"0000731"</f>
        <v>0000731</v>
      </c>
      <c r="G404">
        <v>1</v>
      </c>
      <c r="H404" t="str">
        <f>"00000000"</f>
        <v>00000000</v>
      </c>
      <c r="I404" t="s">
        <v>35</v>
      </c>
      <c r="J404"/>
      <c r="K404">
        <v>15.75</v>
      </c>
      <c r="L404">
        <v>0.0</v>
      </c>
      <c r="M404"/>
      <c r="N404"/>
      <c r="O404">
        <v>2.84</v>
      </c>
      <c r="P404">
        <v>0.0</v>
      </c>
      <c r="Q404">
        <v>18.59</v>
      </c>
      <c r="R404"/>
      <c r="S404"/>
      <c r="T404"/>
      <c r="U404"/>
      <c r="V404"/>
      <c r="W404">
        <v>18</v>
      </c>
    </row>
    <row r="405" spans="1:23">
      <c r="A405"/>
      <c r="B405" t="s">
        <v>46</v>
      </c>
      <c r="C405" t="s">
        <v>46</v>
      </c>
      <c r="D405" t="s">
        <v>33</v>
      </c>
      <c r="E405" t="s">
        <v>34</v>
      </c>
      <c r="F405" t="str">
        <f>"0000732"</f>
        <v>0000732</v>
      </c>
      <c r="G405">
        <v>1</v>
      </c>
      <c r="H405" t="str">
        <f>"00000000"</f>
        <v>00000000</v>
      </c>
      <c r="I405" t="s">
        <v>35</v>
      </c>
      <c r="J405"/>
      <c r="K405">
        <v>15.36</v>
      </c>
      <c r="L405">
        <v>0.0</v>
      </c>
      <c r="M405"/>
      <c r="N405"/>
      <c r="O405">
        <v>2.77</v>
      </c>
      <c r="P405">
        <v>0.0</v>
      </c>
      <c r="Q405">
        <v>18.13</v>
      </c>
      <c r="R405"/>
      <c r="S405"/>
      <c r="T405"/>
      <c r="U405"/>
      <c r="V405"/>
      <c r="W405">
        <v>18</v>
      </c>
    </row>
    <row r="406" spans="1:23">
      <c r="A406"/>
      <c r="B406" t="s">
        <v>46</v>
      </c>
      <c r="C406" t="s">
        <v>46</v>
      </c>
      <c r="D406" t="s">
        <v>33</v>
      </c>
      <c r="E406" t="s">
        <v>34</v>
      </c>
      <c r="F406" t="str">
        <f>"0000733"</f>
        <v>0000733</v>
      </c>
      <c r="G406">
        <v>1</v>
      </c>
      <c r="H406" t="str">
        <f>"00000000"</f>
        <v>00000000</v>
      </c>
      <c r="I406" t="s">
        <v>35</v>
      </c>
      <c r="J406"/>
      <c r="K406">
        <v>3.81</v>
      </c>
      <c r="L406">
        <v>0.0</v>
      </c>
      <c r="M406"/>
      <c r="N406"/>
      <c r="O406">
        <v>0.69</v>
      </c>
      <c r="P406">
        <v>0.0</v>
      </c>
      <c r="Q406">
        <v>4.5</v>
      </c>
      <c r="R406"/>
      <c r="S406"/>
      <c r="T406"/>
      <c r="U406"/>
      <c r="V406"/>
      <c r="W406">
        <v>18</v>
      </c>
    </row>
    <row r="407" spans="1:23">
      <c r="A407"/>
      <c r="B407" t="s">
        <v>46</v>
      </c>
      <c r="C407" t="s">
        <v>46</v>
      </c>
      <c r="D407" t="s">
        <v>33</v>
      </c>
      <c r="E407" t="s">
        <v>34</v>
      </c>
      <c r="F407" t="str">
        <f>"0000734"</f>
        <v>0000734</v>
      </c>
      <c r="G407">
        <v>1</v>
      </c>
      <c r="H407" t="str">
        <f>"00000000"</f>
        <v>00000000</v>
      </c>
      <c r="I407" t="s">
        <v>35</v>
      </c>
      <c r="J407"/>
      <c r="K407">
        <v>5.34</v>
      </c>
      <c r="L407">
        <v>0.0</v>
      </c>
      <c r="M407"/>
      <c r="N407"/>
      <c r="O407">
        <v>0.96</v>
      </c>
      <c r="P407">
        <v>0.0</v>
      </c>
      <c r="Q407">
        <v>6.3</v>
      </c>
      <c r="R407"/>
      <c r="S407"/>
      <c r="T407"/>
      <c r="U407"/>
      <c r="V407"/>
      <c r="W407">
        <v>18</v>
      </c>
    </row>
    <row r="408" spans="1:23">
      <c r="A408"/>
      <c r="B408" t="s">
        <v>46</v>
      </c>
      <c r="C408" t="s">
        <v>46</v>
      </c>
      <c r="D408" t="s">
        <v>33</v>
      </c>
      <c r="E408" t="s">
        <v>34</v>
      </c>
      <c r="F408" t="str">
        <f>"0000735"</f>
        <v>0000735</v>
      </c>
      <c r="G408">
        <v>1</v>
      </c>
      <c r="H408" t="str">
        <f>"00000000"</f>
        <v>00000000</v>
      </c>
      <c r="I408" t="s">
        <v>35</v>
      </c>
      <c r="J408"/>
      <c r="K408">
        <v>3.05</v>
      </c>
      <c r="L408">
        <v>0.0</v>
      </c>
      <c r="M408"/>
      <c r="N408"/>
      <c r="O408">
        <v>0.55</v>
      </c>
      <c r="P408">
        <v>0.0</v>
      </c>
      <c r="Q408">
        <v>3.6</v>
      </c>
      <c r="R408"/>
      <c r="S408"/>
      <c r="T408"/>
      <c r="U408"/>
      <c r="V408"/>
      <c r="W408">
        <v>18</v>
      </c>
    </row>
    <row r="409" spans="1:23">
      <c r="A409"/>
      <c r="B409" t="s">
        <v>46</v>
      </c>
      <c r="C409" t="s">
        <v>46</v>
      </c>
      <c r="D409" t="s">
        <v>33</v>
      </c>
      <c r="E409" t="s">
        <v>34</v>
      </c>
      <c r="F409" t="str">
        <f>"0000736"</f>
        <v>0000736</v>
      </c>
      <c r="G409">
        <v>1</v>
      </c>
      <c r="H409" t="str">
        <f>"00000000"</f>
        <v>00000000</v>
      </c>
      <c r="I409" t="s">
        <v>35</v>
      </c>
      <c r="J409"/>
      <c r="K409">
        <v>23.06</v>
      </c>
      <c r="L409">
        <v>0.0</v>
      </c>
      <c r="M409"/>
      <c r="N409"/>
      <c r="O409">
        <v>4.15</v>
      </c>
      <c r="P409">
        <v>0.0</v>
      </c>
      <c r="Q409">
        <v>27.21</v>
      </c>
      <c r="R409"/>
      <c r="S409"/>
      <c r="T409"/>
      <c r="U409"/>
      <c r="V409"/>
      <c r="W409">
        <v>18</v>
      </c>
    </row>
    <row r="410" spans="1:23">
      <c r="A410"/>
      <c r="B410" t="s">
        <v>46</v>
      </c>
      <c r="C410" t="s">
        <v>46</v>
      </c>
      <c r="D410" t="s">
        <v>33</v>
      </c>
      <c r="E410" t="s">
        <v>34</v>
      </c>
      <c r="F410" t="str">
        <f>"0000737"</f>
        <v>0000737</v>
      </c>
      <c r="G410">
        <v>1</v>
      </c>
      <c r="H410" t="str">
        <f>"00000000"</f>
        <v>00000000</v>
      </c>
      <c r="I410" t="s">
        <v>35</v>
      </c>
      <c r="J410"/>
      <c r="K410">
        <v>1.71</v>
      </c>
      <c r="L410">
        <v>0.0</v>
      </c>
      <c r="M410"/>
      <c r="N410"/>
      <c r="O410">
        <v>0.31</v>
      </c>
      <c r="P410">
        <v>0.0</v>
      </c>
      <c r="Q410">
        <v>2.02</v>
      </c>
      <c r="R410"/>
      <c r="S410"/>
      <c r="T410"/>
      <c r="U410"/>
      <c r="V410"/>
      <c r="W410">
        <v>18</v>
      </c>
    </row>
    <row r="411" spans="1:23">
      <c r="A411"/>
      <c r="B411" t="s">
        <v>46</v>
      </c>
      <c r="C411" t="s">
        <v>46</v>
      </c>
      <c r="D411" t="s">
        <v>33</v>
      </c>
      <c r="E411" t="s">
        <v>34</v>
      </c>
      <c r="F411" t="str">
        <f>"0000738"</f>
        <v>0000738</v>
      </c>
      <c r="G411">
        <v>1</v>
      </c>
      <c r="H411" t="str">
        <f>"00000000"</f>
        <v>00000000</v>
      </c>
      <c r="I411" t="s">
        <v>35</v>
      </c>
      <c r="J411"/>
      <c r="K411">
        <v>4.83</v>
      </c>
      <c r="L411">
        <v>0.0</v>
      </c>
      <c r="M411"/>
      <c r="N411"/>
      <c r="O411">
        <v>0.87</v>
      </c>
      <c r="P411">
        <v>0.0</v>
      </c>
      <c r="Q411">
        <v>5.7</v>
      </c>
      <c r="R411"/>
      <c r="S411"/>
      <c r="T411"/>
      <c r="U411"/>
      <c r="V411"/>
      <c r="W411">
        <v>18</v>
      </c>
    </row>
    <row r="412" spans="1:23">
      <c r="A412"/>
      <c r="B412" t="s">
        <v>46</v>
      </c>
      <c r="C412" t="s">
        <v>46</v>
      </c>
      <c r="D412" t="s">
        <v>33</v>
      </c>
      <c r="E412" t="s">
        <v>34</v>
      </c>
      <c r="F412" t="str">
        <f>"0000739"</f>
        <v>0000739</v>
      </c>
      <c r="G412">
        <v>1</v>
      </c>
      <c r="H412" t="str">
        <f>"00000000"</f>
        <v>00000000</v>
      </c>
      <c r="I412" t="s">
        <v>35</v>
      </c>
      <c r="J412"/>
      <c r="K412">
        <v>21.19</v>
      </c>
      <c r="L412">
        <v>0.0</v>
      </c>
      <c r="M412"/>
      <c r="N412"/>
      <c r="O412">
        <v>3.81</v>
      </c>
      <c r="P412">
        <v>0.0</v>
      </c>
      <c r="Q412">
        <v>25.0</v>
      </c>
      <c r="R412"/>
      <c r="S412"/>
      <c r="T412"/>
      <c r="U412"/>
      <c r="V412"/>
      <c r="W412">
        <v>18</v>
      </c>
    </row>
    <row r="413" spans="1:23">
      <c r="A413"/>
      <c r="B413" t="s">
        <v>46</v>
      </c>
      <c r="C413" t="s">
        <v>46</v>
      </c>
      <c r="D413" t="s">
        <v>33</v>
      </c>
      <c r="E413" t="s">
        <v>34</v>
      </c>
      <c r="F413" t="str">
        <f>"0000740"</f>
        <v>0000740</v>
      </c>
      <c r="G413">
        <v>1</v>
      </c>
      <c r="H413" t="str">
        <f>"00000000"</f>
        <v>00000000</v>
      </c>
      <c r="I413" t="s">
        <v>35</v>
      </c>
      <c r="J413"/>
      <c r="K413">
        <v>13.39</v>
      </c>
      <c r="L413">
        <v>0.0</v>
      </c>
      <c r="M413"/>
      <c r="N413"/>
      <c r="O413">
        <v>2.41</v>
      </c>
      <c r="P413">
        <v>0.2</v>
      </c>
      <c r="Q413">
        <v>16.0</v>
      </c>
      <c r="R413"/>
      <c r="S413"/>
      <c r="T413"/>
      <c r="U413"/>
      <c r="V413"/>
      <c r="W413">
        <v>18</v>
      </c>
    </row>
    <row r="414" spans="1:23">
      <c r="A414"/>
      <c r="B414" t="s">
        <v>46</v>
      </c>
      <c r="C414" t="s">
        <v>46</v>
      </c>
      <c r="D414" t="s">
        <v>33</v>
      </c>
      <c r="E414" t="s">
        <v>34</v>
      </c>
      <c r="F414" t="str">
        <f>"0000741"</f>
        <v>0000741</v>
      </c>
      <c r="G414">
        <v>1</v>
      </c>
      <c r="H414" t="str">
        <f>"00000000"</f>
        <v>00000000</v>
      </c>
      <c r="I414" t="s">
        <v>35</v>
      </c>
      <c r="J414"/>
      <c r="K414">
        <v>5.0</v>
      </c>
      <c r="L414">
        <v>0.0</v>
      </c>
      <c r="M414"/>
      <c r="N414"/>
      <c r="O414">
        <v>0.9</v>
      </c>
      <c r="P414">
        <v>0.0</v>
      </c>
      <c r="Q414">
        <v>5.9</v>
      </c>
      <c r="R414"/>
      <c r="S414"/>
      <c r="T414"/>
      <c r="U414"/>
      <c r="V414"/>
      <c r="W414">
        <v>18</v>
      </c>
    </row>
    <row r="415" spans="1:23">
      <c r="A415"/>
      <c r="B415" t="s">
        <v>46</v>
      </c>
      <c r="C415" t="s">
        <v>46</v>
      </c>
      <c r="D415" t="s">
        <v>33</v>
      </c>
      <c r="E415" t="s">
        <v>34</v>
      </c>
      <c r="F415" t="str">
        <f>"0000742"</f>
        <v>0000742</v>
      </c>
      <c r="G415">
        <v>1</v>
      </c>
      <c r="H415" t="str">
        <f>"00000000"</f>
        <v>00000000</v>
      </c>
      <c r="I415" t="s">
        <v>35</v>
      </c>
      <c r="J415"/>
      <c r="K415">
        <v>9.45</v>
      </c>
      <c r="L415">
        <v>0.0</v>
      </c>
      <c r="M415"/>
      <c r="N415"/>
      <c r="O415">
        <v>1.7</v>
      </c>
      <c r="P415">
        <v>0.2</v>
      </c>
      <c r="Q415">
        <v>11.35</v>
      </c>
      <c r="R415"/>
      <c r="S415"/>
      <c r="T415"/>
      <c r="U415"/>
      <c r="V415"/>
      <c r="W415">
        <v>18</v>
      </c>
    </row>
    <row r="416" spans="1:23">
      <c r="A416"/>
      <c r="B416" t="s">
        <v>46</v>
      </c>
      <c r="C416" t="s">
        <v>46</v>
      </c>
      <c r="D416" t="s">
        <v>33</v>
      </c>
      <c r="E416" t="s">
        <v>34</v>
      </c>
      <c r="F416" t="str">
        <f>"0000743"</f>
        <v>0000743</v>
      </c>
      <c r="G416">
        <v>1</v>
      </c>
      <c r="H416" t="str">
        <f>"00000000"</f>
        <v>00000000</v>
      </c>
      <c r="I416" t="s">
        <v>35</v>
      </c>
      <c r="J416"/>
      <c r="K416">
        <v>4.66</v>
      </c>
      <c r="L416">
        <v>0.0</v>
      </c>
      <c r="M416"/>
      <c r="N416"/>
      <c r="O416">
        <v>0.84</v>
      </c>
      <c r="P416">
        <v>0.0</v>
      </c>
      <c r="Q416">
        <v>5.5</v>
      </c>
      <c r="R416"/>
      <c r="S416"/>
      <c r="T416"/>
      <c r="U416"/>
      <c r="V416"/>
      <c r="W416">
        <v>18</v>
      </c>
    </row>
    <row r="417" spans="1:23">
      <c r="A417"/>
      <c r="B417" t="s">
        <v>46</v>
      </c>
      <c r="C417" t="s">
        <v>46</v>
      </c>
      <c r="D417" t="s">
        <v>33</v>
      </c>
      <c r="E417" t="s">
        <v>34</v>
      </c>
      <c r="F417" t="str">
        <f>"0000744"</f>
        <v>0000744</v>
      </c>
      <c r="G417">
        <v>1</v>
      </c>
      <c r="H417" t="str">
        <f>"00000000"</f>
        <v>00000000</v>
      </c>
      <c r="I417" t="s">
        <v>35</v>
      </c>
      <c r="J417"/>
      <c r="K417">
        <v>0.86</v>
      </c>
      <c r="L417">
        <v>0.0</v>
      </c>
      <c r="M417"/>
      <c r="N417"/>
      <c r="O417">
        <v>0.16</v>
      </c>
      <c r="P417">
        <v>0.0</v>
      </c>
      <c r="Q417">
        <v>1.02</v>
      </c>
      <c r="R417"/>
      <c r="S417"/>
      <c r="T417"/>
      <c r="U417"/>
      <c r="V417"/>
      <c r="W417">
        <v>18</v>
      </c>
    </row>
    <row r="418" spans="1:23">
      <c r="A418"/>
      <c r="B418" t="s">
        <v>46</v>
      </c>
      <c r="C418" t="s">
        <v>46</v>
      </c>
      <c r="D418" t="s">
        <v>33</v>
      </c>
      <c r="E418" t="s">
        <v>34</v>
      </c>
      <c r="F418" t="str">
        <f>"0000745"</f>
        <v>0000745</v>
      </c>
      <c r="G418">
        <v>1</v>
      </c>
      <c r="H418" t="str">
        <f>"00000000"</f>
        <v>00000000</v>
      </c>
      <c r="I418" t="s">
        <v>35</v>
      </c>
      <c r="J418"/>
      <c r="K418">
        <v>1.27</v>
      </c>
      <c r="L418">
        <v>0.0</v>
      </c>
      <c r="M418"/>
      <c r="N418"/>
      <c r="O418">
        <v>0.23</v>
      </c>
      <c r="P418">
        <v>0.0</v>
      </c>
      <c r="Q418">
        <v>1.5</v>
      </c>
      <c r="R418"/>
      <c r="S418"/>
      <c r="T418"/>
      <c r="U418"/>
      <c r="V418"/>
      <c r="W418">
        <v>18</v>
      </c>
    </row>
    <row r="419" spans="1:23">
      <c r="A419"/>
      <c r="B419" t="s">
        <v>46</v>
      </c>
      <c r="C419" t="s">
        <v>46</v>
      </c>
      <c r="D419" t="s">
        <v>33</v>
      </c>
      <c r="E419" t="s">
        <v>34</v>
      </c>
      <c r="F419" t="str">
        <f>"0000746"</f>
        <v>0000746</v>
      </c>
      <c r="G419">
        <v>1</v>
      </c>
      <c r="H419" t="str">
        <f>"00000000"</f>
        <v>00000000</v>
      </c>
      <c r="I419" t="s">
        <v>35</v>
      </c>
      <c r="J419"/>
      <c r="K419">
        <v>21.33</v>
      </c>
      <c r="L419">
        <v>0.0</v>
      </c>
      <c r="M419"/>
      <c r="N419"/>
      <c r="O419">
        <v>3.84</v>
      </c>
      <c r="P419">
        <v>0.0</v>
      </c>
      <c r="Q419">
        <v>25.17</v>
      </c>
      <c r="R419"/>
      <c r="S419"/>
      <c r="T419"/>
      <c r="U419"/>
      <c r="V419"/>
      <c r="W419">
        <v>18</v>
      </c>
    </row>
    <row r="420" spans="1:23">
      <c r="A420"/>
      <c r="B420" t="s">
        <v>46</v>
      </c>
      <c r="C420" t="s">
        <v>46</v>
      </c>
      <c r="D420" t="s">
        <v>33</v>
      </c>
      <c r="E420" t="s">
        <v>34</v>
      </c>
      <c r="F420" t="str">
        <f>"0000747"</f>
        <v>0000747</v>
      </c>
      <c r="G420">
        <v>1</v>
      </c>
      <c r="H420" t="str">
        <f>"00000000"</f>
        <v>00000000</v>
      </c>
      <c r="I420" t="s">
        <v>35</v>
      </c>
      <c r="J420"/>
      <c r="K420">
        <v>1.69</v>
      </c>
      <c r="L420">
        <v>0.0</v>
      </c>
      <c r="M420"/>
      <c r="N420"/>
      <c r="O420">
        <v>0.3</v>
      </c>
      <c r="P420">
        <v>0.0</v>
      </c>
      <c r="Q420">
        <v>2.0</v>
      </c>
      <c r="R420"/>
      <c r="S420"/>
      <c r="T420"/>
      <c r="U420"/>
      <c r="V420"/>
      <c r="W420">
        <v>18</v>
      </c>
    </row>
    <row r="421" spans="1:23">
      <c r="A421"/>
      <c r="B421" t="s">
        <v>46</v>
      </c>
      <c r="C421" t="s">
        <v>46</v>
      </c>
      <c r="D421" t="s">
        <v>33</v>
      </c>
      <c r="E421" t="s">
        <v>34</v>
      </c>
      <c r="F421" t="str">
        <f>"0000748"</f>
        <v>0000748</v>
      </c>
      <c r="G421">
        <v>1</v>
      </c>
      <c r="H421" t="str">
        <f>"00000000"</f>
        <v>00000000</v>
      </c>
      <c r="I421" t="s">
        <v>35</v>
      </c>
      <c r="J421"/>
      <c r="K421">
        <v>7.12</v>
      </c>
      <c r="L421">
        <v>0.0</v>
      </c>
      <c r="M421"/>
      <c r="N421"/>
      <c r="O421">
        <v>1.28</v>
      </c>
      <c r="P421">
        <v>0.0</v>
      </c>
      <c r="Q421">
        <v>8.4</v>
      </c>
      <c r="R421"/>
      <c r="S421"/>
      <c r="T421"/>
      <c r="U421"/>
      <c r="V421"/>
      <c r="W421">
        <v>18</v>
      </c>
    </row>
    <row r="422" spans="1:23">
      <c r="A422"/>
      <c r="B422" t="s">
        <v>46</v>
      </c>
      <c r="C422" t="s">
        <v>46</v>
      </c>
      <c r="D422" t="s">
        <v>33</v>
      </c>
      <c r="E422" t="s">
        <v>34</v>
      </c>
      <c r="F422" t="str">
        <f>"0000749"</f>
        <v>0000749</v>
      </c>
      <c r="G422">
        <v>1</v>
      </c>
      <c r="H422" t="str">
        <f>"00000000"</f>
        <v>00000000</v>
      </c>
      <c r="I422" t="s">
        <v>35</v>
      </c>
      <c r="J422"/>
      <c r="K422">
        <v>94.62</v>
      </c>
      <c r="L422">
        <v>0.0</v>
      </c>
      <c r="M422"/>
      <c r="N422"/>
      <c r="O422">
        <v>17.03</v>
      </c>
      <c r="P422">
        <v>0.0</v>
      </c>
      <c r="Q422">
        <v>111.65</v>
      </c>
      <c r="R422"/>
      <c r="S422"/>
      <c r="T422"/>
      <c r="U422"/>
      <c r="V422"/>
      <c r="W422">
        <v>18</v>
      </c>
    </row>
    <row r="423" spans="1:23">
      <c r="A423"/>
      <c r="B423" t="s">
        <v>46</v>
      </c>
      <c r="C423" t="s">
        <v>46</v>
      </c>
      <c r="D423" t="s">
        <v>33</v>
      </c>
      <c r="E423" t="s">
        <v>34</v>
      </c>
      <c r="F423" t="str">
        <f>"0000750"</f>
        <v>0000750</v>
      </c>
      <c r="G423">
        <v>1</v>
      </c>
      <c r="H423" t="str">
        <f>"00000000"</f>
        <v>00000000</v>
      </c>
      <c r="I423" t="s">
        <v>35</v>
      </c>
      <c r="J423"/>
      <c r="K423">
        <v>16.53</v>
      </c>
      <c r="L423">
        <v>0.0</v>
      </c>
      <c r="M423"/>
      <c r="N423"/>
      <c r="O423">
        <v>2.97</v>
      </c>
      <c r="P423">
        <v>0.2</v>
      </c>
      <c r="Q423">
        <v>19.7</v>
      </c>
      <c r="R423"/>
      <c r="S423"/>
      <c r="T423"/>
      <c r="U423"/>
      <c r="V423"/>
      <c r="W423">
        <v>18</v>
      </c>
    </row>
    <row r="424" spans="1:23">
      <c r="A424"/>
      <c r="B424" t="s">
        <v>46</v>
      </c>
      <c r="C424" t="s">
        <v>46</v>
      </c>
      <c r="D424" t="s">
        <v>33</v>
      </c>
      <c r="E424" t="s">
        <v>34</v>
      </c>
      <c r="F424" t="str">
        <f>"0000751"</f>
        <v>0000751</v>
      </c>
      <c r="G424">
        <v>1</v>
      </c>
      <c r="H424" t="str">
        <f>"00000000"</f>
        <v>00000000</v>
      </c>
      <c r="I424" t="s">
        <v>35</v>
      </c>
      <c r="J424"/>
      <c r="K424">
        <v>198.24</v>
      </c>
      <c r="L424">
        <v>0.0</v>
      </c>
      <c r="M424"/>
      <c r="N424"/>
      <c r="O424">
        <v>35.68</v>
      </c>
      <c r="P424">
        <v>0.4</v>
      </c>
      <c r="Q424">
        <v>234.33</v>
      </c>
      <c r="R424"/>
      <c r="S424"/>
      <c r="T424"/>
      <c r="U424"/>
      <c r="V424"/>
      <c r="W424">
        <v>18</v>
      </c>
    </row>
    <row r="425" spans="1:23">
      <c r="A425"/>
      <c r="B425" t="s">
        <v>46</v>
      </c>
      <c r="C425" t="s">
        <v>46</v>
      </c>
      <c r="D425" t="s">
        <v>33</v>
      </c>
      <c r="E425" t="s">
        <v>34</v>
      </c>
      <c r="F425" t="str">
        <f>"0000752"</f>
        <v>0000752</v>
      </c>
      <c r="G425">
        <v>1</v>
      </c>
      <c r="H425" t="str">
        <f>"00000000"</f>
        <v>00000000</v>
      </c>
      <c r="I425" t="s">
        <v>35</v>
      </c>
      <c r="J425"/>
      <c r="K425">
        <v>24.08</v>
      </c>
      <c r="L425">
        <v>0.0</v>
      </c>
      <c r="M425"/>
      <c r="N425"/>
      <c r="O425">
        <v>4.33</v>
      </c>
      <c r="P425">
        <v>0.2</v>
      </c>
      <c r="Q425">
        <v>28.62</v>
      </c>
      <c r="R425"/>
      <c r="S425"/>
      <c r="T425"/>
      <c r="U425"/>
      <c r="V425"/>
      <c r="W425">
        <v>18</v>
      </c>
    </row>
    <row r="426" spans="1:23">
      <c r="A426"/>
      <c r="B426" t="s">
        <v>46</v>
      </c>
      <c r="C426" t="s">
        <v>46</v>
      </c>
      <c r="D426" t="s">
        <v>33</v>
      </c>
      <c r="E426" t="s">
        <v>34</v>
      </c>
      <c r="F426" t="str">
        <f>"0000753"</f>
        <v>0000753</v>
      </c>
      <c r="G426">
        <v>1</v>
      </c>
      <c r="H426" t="str">
        <f>"00000000"</f>
        <v>00000000</v>
      </c>
      <c r="I426" t="s">
        <v>35</v>
      </c>
      <c r="J426"/>
      <c r="K426">
        <v>49.36</v>
      </c>
      <c r="L426">
        <v>0.0</v>
      </c>
      <c r="M426"/>
      <c r="N426"/>
      <c r="O426">
        <v>8.89</v>
      </c>
      <c r="P426">
        <v>0.2</v>
      </c>
      <c r="Q426">
        <v>58.45</v>
      </c>
      <c r="R426"/>
      <c r="S426"/>
      <c r="T426"/>
      <c r="U426"/>
      <c r="V426"/>
      <c r="W426">
        <v>18</v>
      </c>
    </row>
    <row r="427" spans="1:23">
      <c r="A427"/>
      <c r="B427" t="s">
        <v>46</v>
      </c>
      <c r="C427" t="s">
        <v>46</v>
      </c>
      <c r="D427" t="s">
        <v>33</v>
      </c>
      <c r="E427" t="s">
        <v>34</v>
      </c>
      <c r="F427" t="str">
        <f>"0000754"</f>
        <v>0000754</v>
      </c>
      <c r="G427">
        <v>1</v>
      </c>
      <c r="H427" t="str">
        <f>"00000000"</f>
        <v>00000000</v>
      </c>
      <c r="I427" t="s">
        <v>35</v>
      </c>
      <c r="J427"/>
      <c r="K427">
        <v>133.77</v>
      </c>
      <c r="L427">
        <v>0.0</v>
      </c>
      <c r="M427"/>
      <c r="N427"/>
      <c r="O427">
        <v>24.08</v>
      </c>
      <c r="P427">
        <v>0.4</v>
      </c>
      <c r="Q427">
        <v>158.25</v>
      </c>
      <c r="R427"/>
      <c r="S427"/>
      <c r="T427"/>
      <c r="U427"/>
      <c r="V427"/>
      <c r="W427">
        <v>18</v>
      </c>
    </row>
    <row r="428" spans="1:23">
      <c r="A428"/>
      <c r="B428" t="s">
        <v>46</v>
      </c>
      <c r="C428" t="s">
        <v>46</v>
      </c>
      <c r="D428" t="s">
        <v>33</v>
      </c>
      <c r="E428" t="s">
        <v>34</v>
      </c>
      <c r="F428" t="str">
        <f>"0000755"</f>
        <v>0000755</v>
      </c>
      <c r="G428">
        <v>1</v>
      </c>
      <c r="H428" t="str">
        <f>"00000000"</f>
        <v>00000000</v>
      </c>
      <c r="I428" t="s">
        <v>35</v>
      </c>
      <c r="J428"/>
      <c r="K428">
        <v>37.64</v>
      </c>
      <c r="L428">
        <v>0.0</v>
      </c>
      <c r="M428"/>
      <c r="N428"/>
      <c r="O428">
        <v>6.77</v>
      </c>
      <c r="P428">
        <v>0.2</v>
      </c>
      <c r="Q428">
        <v>44.61</v>
      </c>
      <c r="R428"/>
      <c r="S428"/>
      <c r="T428"/>
      <c r="U428"/>
      <c r="V428"/>
      <c r="W428">
        <v>18</v>
      </c>
    </row>
    <row r="429" spans="1:23">
      <c r="A429"/>
      <c r="B429" t="s">
        <v>46</v>
      </c>
      <c r="C429" t="s">
        <v>46</v>
      </c>
      <c r="D429" t="s">
        <v>33</v>
      </c>
      <c r="E429" t="s">
        <v>34</v>
      </c>
      <c r="F429" t="str">
        <f>"0000756"</f>
        <v>0000756</v>
      </c>
      <c r="G429">
        <v>1</v>
      </c>
      <c r="H429" t="str">
        <f>"00000000"</f>
        <v>00000000</v>
      </c>
      <c r="I429" t="s">
        <v>35</v>
      </c>
      <c r="J429"/>
      <c r="K429">
        <v>17.8</v>
      </c>
      <c r="L429">
        <v>0.0</v>
      </c>
      <c r="M429"/>
      <c r="N429"/>
      <c r="O429">
        <v>3.2</v>
      </c>
      <c r="P429">
        <v>0.0</v>
      </c>
      <c r="Q429">
        <v>21.0</v>
      </c>
      <c r="R429"/>
      <c r="S429"/>
      <c r="T429"/>
      <c r="U429"/>
      <c r="V429"/>
      <c r="W429">
        <v>18</v>
      </c>
    </row>
    <row r="430" spans="1:23">
      <c r="A430"/>
      <c r="B430" t="s">
        <v>46</v>
      </c>
      <c r="C430" t="s">
        <v>46</v>
      </c>
      <c r="D430" t="s">
        <v>33</v>
      </c>
      <c r="E430" t="s">
        <v>34</v>
      </c>
      <c r="F430" t="str">
        <f>"0000757"</f>
        <v>0000757</v>
      </c>
      <c r="G430">
        <v>1</v>
      </c>
      <c r="H430" t="str">
        <f>"00000000"</f>
        <v>00000000</v>
      </c>
      <c r="I430" t="s">
        <v>35</v>
      </c>
      <c r="J430"/>
      <c r="K430">
        <v>27.37</v>
      </c>
      <c r="L430">
        <v>0.0</v>
      </c>
      <c r="M430"/>
      <c r="N430"/>
      <c r="O430">
        <v>4.93</v>
      </c>
      <c r="P430">
        <v>0.0</v>
      </c>
      <c r="Q430">
        <v>32.3</v>
      </c>
      <c r="R430"/>
      <c r="S430"/>
      <c r="T430"/>
      <c r="U430"/>
      <c r="V430"/>
      <c r="W430">
        <v>18</v>
      </c>
    </row>
    <row r="431" spans="1:23">
      <c r="A431"/>
      <c r="B431" t="s">
        <v>46</v>
      </c>
      <c r="C431" t="s">
        <v>46</v>
      </c>
      <c r="D431" t="s">
        <v>33</v>
      </c>
      <c r="E431" t="s">
        <v>34</v>
      </c>
      <c r="F431" t="str">
        <f>"0000758"</f>
        <v>0000758</v>
      </c>
      <c r="G431">
        <v>1</v>
      </c>
      <c r="H431" t="str">
        <f>"00000000"</f>
        <v>00000000</v>
      </c>
      <c r="I431" t="s">
        <v>35</v>
      </c>
      <c r="J431"/>
      <c r="K431">
        <v>9.29</v>
      </c>
      <c r="L431">
        <v>0.0</v>
      </c>
      <c r="M431"/>
      <c r="N431"/>
      <c r="O431">
        <v>1.67</v>
      </c>
      <c r="P431">
        <v>0.0</v>
      </c>
      <c r="Q431">
        <v>10.96</v>
      </c>
      <c r="R431"/>
      <c r="S431"/>
      <c r="T431"/>
      <c r="U431"/>
      <c r="V431"/>
      <c r="W431">
        <v>18</v>
      </c>
    </row>
    <row r="432" spans="1:23">
      <c r="A432"/>
      <c r="B432" t="s">
        <v>46</v>
      </c>
      <c r="C432" t="s">
        <v>46</v>
      </c>
      <c r="D432" t="s">
        <v>33</v>
      </c>
      <c r="E432" t="s">
        <v>34</v>
      </c>
      <c r="F432" t="str">
        <f>"0000759"</f>
        <v>0000759</v>
      </c>
      <c r="G432">
        <v>1</v>
      </c>
      <c r="H432" t="str">
        <f>"00000000"</f>
        <v>00000000</v>
      </c>
      <c r="I432" t="s">
        <v>35</v>
      </c>
      <c r="J432"/>
      <c r="K432">
        <v>10.12</v>
      </c>
      <c r="L432">
        <v>0.0</v>
      </c>
      <c r="M432"/>
      <c r="N432"/>
      <c r="O432">
        <v>1.82</v>
      </c>
      <c r="P432">
        <v>0.0</v>
      </c>
      <c r="Q432">
        <v>11.94</v>
      </c>
      <c r="R432"/>
      <c r="S432"/>
      <c r="T432"/>
      <c r="U432"/>
      <c r="V432"/>
      <c r="W432">
        <v>18</v>
      </c>
    </row>
    <row r="433" spans="1:23">
      <c r="A433"/>
      <c r="B433" t="s">
        <v>46</v>
      </c>
      <c r="C433" t="s">
        <v>46</v>
      </c>
      <c r="D433" t="s">
        <v>33</v>
      </c>
      <c r="E433" t="s">
        <v>34</v>
      </c>
      <c r="F433" t="str">
        <f>"0000760"</f>
        <v>0000760</v>
      </c>
      <c r="G433">
        <v>1</v>
      </c>
      <c r="H433" t="str">
        <f>"00000000"</f>
        <v>00000000</v>
      </c>
      <c r="I433" t="s">
        <v>35</v>
      </c>
      <c r="J433"/>
      <c r="K433">
        <v>63.42</v>
      </c>
      <c r="L433">
        <v>0.0</v>
      </c>
      <c r="M433"/>
      <c r="N433"/>
      <c r="O433">
        <v>11.42</v>
      </c>
      <c r="P433">
        <v>0.2</v>
      </c>
      <c r="Q433">
        <v>75.04</v>
      </c>
      <c r="R433"/>
      <c r="S433"/>
      <c r="T433"/>
      <c r="U433"/>
      <c r="V433"/>
      <c r="W433">
        <v>18</v>
      </c>
    </row>
    <row r="434" spans="1:23">
      <c r="A434"/>
      <c r="B434" t="s">
        <v>46</v>
      </c>
      <c r="C434" t="s">
        <v>46</v>
      </c>
      <c r="D434" t="s">
        <v>33</v>
      </c>
      <c r="E434" t="s">
        <v>34</v>
      </c>
      <c r="F434" t="str">
        <f>"0000761"</f>
        <v>0000761</v>
      </c>
      <c r="G434">
        <v>1</v>
      </c>
      <c r="H434" t="str">
        <f>"00000000"</f>
        <v>00000000</v>
      </c>
      <c r="I434" t="s">
        <v>35</v>
      </c>
      <c r="J434"/>
      <c r="K434">
        <v>41.54</v>
      </c>
      <c r="L434">
        <v>0.0</v>
      </c>
      <c r="M434"/>
      <c r="N434"/>
      <c r="O434">
        <v>7.48</v>
      </c>
      <c r="P434">
        <v>0.0</v>
      </c>
      <c r="Q434">
        <v>49.01</v>
      </c>
      <c r="R434"/>
      <c r="S434"/>
      <c r="T434"/>
      <c r="U434"/>
      <c r="V434"/>
      <c r="W434">
        <v>18</v>
      </c>
    </row>
    <row r="435" spans="1:23">
      <c r="A435"/>
      <c r="B435" t="s">
        <v>46</v>
      </c>
      <c r="C435" t="s">
        <v>46</v>
      </c>
      <c r="D435" t="s">
        <v>33</v>
      </c>
      <c r="E435" t="s">
        <v>34</v>
      </c>
      <c r="F435" t="str">
        <f>"0000762"</f>
        <v>0000762</v>
      </c>
      <c r="G435">
        <v>1</v>
      </c>
      <c r="H435" t="str">
        <f>"00000000"</f>
        <v>00000000</v>
      </c>
      <c r="I435" t="s">
        <v>35</v>
      </c>
      <c r="J435"/>
      <c r="K435">
        <v>4.24</v>
      </c>
      <c r="L435">
        <v>0.0</v>
      </c>
      <c r="M435"/>
      <c r="N435"/>
      <c r="O435">
        <v>0.76</v>
      </c>
      <c r="P435">
        <v>0.0</v>
      </c>
      <c r="Q435">
        <v>5.0</v>
      </c>
      <c r="R435"/>
      <c r="S435"/>
      <c r="T435"/>
      <c r="U435"/>
      <c r="V435"/>
      <c r="W435">
        <v>18</v>
      </c>
    </row>
    <row r="436" spans="1:23">
      <c r="A436"/>
      <c r="B436" t="s">
        <v>46</v>
      </c>
      <c r="C436" t="s">
        <v>46</v>
      </c>
      <c r="D436" t="s">
        <v>33</v>
      </c>
      <c r="E436" t="s">
        <v>34</v>
      </c>
      <c r="F436" t="str">
        <f>"0000763"</f>
        <v>0000763</v>
      </c>
      <c r="G436">
        <v>1</v>
      </c>
      <c r="H436" t="str">
        <f>"00000000"</f>
        <v>00000000</v>
      </c>
      <c r="I436" t="s">
        <v>35</v>
      </c>
      <c r="J436"/>
      <c r="K436">
        <v>7.63</v>
      </c>
      <c r="L436">
        <v>0.0</v>
      </c>
      <c r="M436"/>
      <c r="N436"/>
      <c r="O436">
        <v>1.37</v>
      </c>
      <c r="P436">
        <v>0.0</v>
      </c>
      <c r="Q436">
        <v>9.0</v>
      </c>
      <c r="R436"/>
      <c r="S436"/>
      <c r="T436"/>
      <c r="U436"/>
      <c r="V436"/>
      <c r="W436">
        <v>18</v>
      </c>
    </row>
    <row r="437" spans="1:23">
      <c r="A437"/>
      <c r="B437" t="s">
        <v>46</v>
      </c>
      <c r="C437" t="s">
        <v>46</v>
      </c>
      <c r="D437" t="s">
        <v>33</v>
      </c>
      <c r="E437" t="s">
        <v>34</v>
      </c>
      <c r="F437" t="str">
        <f>"0000764"</f>
        <v>0000764</v>
      </c>
      <c r="G437">
        <v>1</v>
      </c>
      <c r="H437" t="str">
        <f>"00000000"</f>
        <v>00000000</v>
      </c>
      <c r="I437" t="s">
        <v>35</v>
      </c>
      <c r="J437"/>
      <c r="K437">
        <v>13.16</v>
      </c>
      <c r="L437">
        <v>0.0</v>
      </c>
      <c r="M437"/>
      <c r="N437"/>
      <c r="O437">
        <v>2.37</v>
      </c>
      <c r="P437">
        <v>0.2</v>
      </c>
      <c r="Q437">
        <v>15.73</v>
      </c>
      <c r="R437"/>
      <c r="S437"/>
      <c r="T437"/>
      <c r="U437"/>
      <c r="V437"/>
      <c r="W437">
        <v>18</v>
      </c>
    </row>
    <row r="438" spans="1:23">
      <c r="A438"/>
      <c r="B438" t="s">
        <v>46</v>
      </c>
      <c r="C438" t="s">
        <v>46</v>
      </c>
      <c r="D438" t="s">
        <v>33</v>
      </c>
      <c r="E438" t="s">
        <v>34</v>
      </c>
      <c r="F438" t="str">
        <f>"0000765"</f>
        <v>0000765</v>
      </c>
      <c r="G438">
        <v>1</v>
      </c>
      <c r="H438" t="str">
        <f>"00000000"</f>
        <v>00000000</v>
      </c>
      <c r="I438" t="s">
        <v>35</v>
      </c>
      <c r="J438"/>
      <c r="K438">
        <v>5.25</v>
      </c>
      <c r="L438">
        <v>0.0</v>
      </c>
      <c r="M438"/>
      <c r="N438"/>
      <c r="O438">
        <v>0.95</v>
      </c>
      <c r="P438">
        <v>0.0</v>
      </c>
      <c r="Q438">
        <v>6.2</v>
      </c>
      <c r="R438"/>
      <c r="S438"/>
      <c r="T438"/>
      <c r="U438"/>
      <c r="V438"/>
      <c r="W438">
        <v>18</v>
      </c>
    </row>
    <row r="439" spans="1:23">
      <c r="A439"/>
      <c r="B439" t="s">
        <v>46</v>
      </c>
      <c r="C439" t="s">
        <v>46</v>
      </c>
      <c r="D439" t="s">
        <v>33</v>
      </c>
      <c r="E439" t="s">
        <v>34</v>
      </c>
      <c r="F439" t="str">
        <f>"0000766"</f>
        <v>0000766</v>
      </c>
      <c r="G439">
        <v>1</v>
      </c>
      <c r="H439" t="str">
        <f>"00000000"</f>
        <v>00000000</v>
      </c>
      <c r="I439" t="s">
        <v>35</v>
      </c>
      <c r="J439"/>
      <c r="K439">
        <v>16.41</v>
      </c>
      <c r="L439">
        <v>0.0</v>
      </c>
      <c r="M439"/>
      <c r="N439"/>
      <c r="O439">
        <v>2.95</v>
      </c>
      <c r="P439">
        <v>0.2</v>
      </c>
      <c r="Q439">
        <v>19.57</v>
      </c>
      <c r="R439"/>
      <c r="S439"/>
      <c r="T439"/>
      <c r="U439"/>
      <c r="V439"/>
      <c r="W439">
        <v>18</v>
      </c>
    </row>
    <row r="440" spans="1:23">
      <c r="A440"/>
      <c r="B440" t="s">
        <v>46</v>
      </c>
      <c r="C440" t="s">
        <v>46</v>
      </c>
      <c r="D440" t="s">
        <v>33</v>
      </c>
      <c r="E440" t="s">
        <v>34</v>
      </c>
      <c r="F440" t="str">
        <f>"0000767"</f>
        <v>0000767</v>
      </c>
      <c r="G440">
        <v>1</v>
      </c>
      <c r="H440" t="str">
        <f>"00000000"</f>
        <v>00000000</v>
      </c>
      <c r="I440" t="s">
        <v>35</v>
      </c>
      <c r="J440"/>
      <c r="K440">
        <v>2.97</v>
      </c>
      <c r="L440">
        <v>0.0</v>
      </c>
      <c r="M440"/>
      <c r="N440"/>
      <c r="O440">
        <v>0.53</v>
      </c>
      <c r="P440">
        <v>0.0</v>
      </c>
      <c r="Q440">
        <v>3.5</v>
      </c>
      <c r="R440"/>
      <c r="S440"/>
      <c r="T440"/>
      <c r="U440"/>
      <c r="V440"/>
      <c r="W440">
        <v>18</v>
      </c>
    </row>
    <row r="441" spans="1:23">
      <c r="A441"/>
      <c r="B441" t="s">
        <v>46</v>
      </c>
      <c r="C441" t="s">
        <v>46</v>
      </c>
      <c r="D441" t="s">
        <v>33</v>
      </c>
      <c r="E441" t="s">
        <v>34</v>
      </c>
      <c r="F441" t="str">
        <f>"0000768"</f>
        <v>0000768</v>
      </c>
      <c r="G441">
        <v>1</v>
      </c>
      <c r="H441" t="str">
        <f>"00000000"</f>
        <v>00000000</v>
      </c>
      <c r="I441" t="s">
        <v>35</v>
      </c>
      <c r="J441"/>
      <c r="K441">
        <v>9.92</v>
      </c>
      <c r="L441">
        <v>0.0</v>
      </c>
      <c r="M441"/>
      <c r="N441"/>
      <c r="O441">
        <v>1.78</v>
      </c>
      <c r="P441">
        <v>0.2</v>
      </c>
      <c r="Q441">
        <v>11.9</v>
      </c>
      <c r="R441"/>
      <c r="S441"/>
      <c r="T441"/>
      <c r="U441"/>
      <c r="V441"/>
      <c r="W441">
        <v>18</v>
      </c>
    </row>
    <row r="442" spans="1:23">
      <c r="A442"/>
      <c r="B442" t="s">
        <v>46</v>
      </c>
      <c r="C442" t="s">
        <v>46</v>
      </c>
      <c r="D442" t="s">
        <v>33</v>
      </c>
      <c r="E442" t="s">
        <v>34</v>
      </c>
      <c r="F442" t="str">
        <f>"0000769"</f>
        <v>0000769</v>
      </c>
      <c r="G442">
        <v>1</v>
      </c>
      <c r="H442" t="str">
        <f>"00000000"</f>
        <v>00000000</v>
      </c>
      <c r="I442" t="s">
        <v>35</v>
      </c>
      <c r="J442"/>
      <c r="K442">
        <v>6.61</v>
      </c>
      <c r="L442">
        <v>0.0</v>
      </c>
      <c r="M442"/>
      <c r="N442"/>
      <c r="O442">
        <v>1.19</v>
      </c>
      <c r="P442">
        <v>0.0</v>
      </c>
      <c r="Q442">
        <v>7.8</v>
      </c>
      <c r="R442"/>
      <c r="S442"/>
      <c r="T442"/>
      <c r="U442"/>
      <c r="V442"/>
      <c r="W442">
        <v>18</v>
      </c>
    </row>
    <row r="443" spans="1:23">
      <c r="A443"/>
      <c r="B443" t="s">
        <v>46</v>
      </c>
      <c r="C443" t="s">
        <v>46</v>
      </c>
      <c r="D443" t="s">
        <v>33</v>
      </c>
      <c r="E443" t="s">
        <v>34</v>
      </c>
      <c r="F443" t="str">
        <f>"0000770"</f>
        <v>0000770</v>
      </c>
      <c r="G443">
        <v>1</v>
      </c>
      <c r="H443" t="str">
        <f>"00000000"</f>
        <v>00000000</v>
      </c>
      <c r="I443" t="s">
        <v>35</v>
      </c>
      <c r="J443"/>
      <c r="K443">
        <v>23.33</v>
      </c>
      <c r="L443">
        <v>0.0</v>
      </c>
      <c r="M443"/>
      <c r="N443"/>
      <c r="O443">
        <v>4.2</v>
      </c>
      <c r="P443">
        <v>0.0</v>
      </c>
      <c r="Q443">
        <v>27.53</v>
      </c>
      <c r="R443"/>
      <c r="S443"/>
      <c r="T443"/>
      <c r="U443"/>
      <c r="V443"/>
      <c r="W443">
        <v>18</v>
      </c>
    </row>
    <row r="444" spans="1:23">
      <c r="A444"/>
      <c r="B444" t="s">
        <v>46</v>
      </c>
      <c r="C444" t="s">
        <v>46</v>
      </c>
      <c r="D444" t="s">
        <v>33</v>
      </c>
      <c r="E444" t="s">
        <v>34</v>
      </c>
      <c r="F444" t="str">
        <f>"0000771"</f>
        <v>0000771</v>
      </c>
      <c r="G444">
        <v>1</v>
      </c>
      <c r="H444" t="str">
        <f>"00000000"</f>
        <v>00000000</v>
      </c>
      <c r="I444" t="s">
        <v>35</v>
      </c>
      <c r="J444"/>
      <c r="K444">
        <v>0.03</v>
      </c>
      <c r="L444">
        <v>0.0</v>
      </c>
      <c r="M444"/>
      <c r="N444"/>
      <c r="O444">
        <v>0.0</v>
      </c>
      <c r="P444">
        <v>0.2</v>
      </c>
      <c r="Q444">
        <v>0.23</v>
      </c>
      <c r="R444"/>
      <c r="S444"/>
      <c r="T444"/>
      <c r="U444"/>
      <c r="V444"/>
      <c r="W444">
        <v>18</v>
      </c>
    </row>
    <row r="445" spans="1:23">
      <c r="A445"/>
      <c r="B445" t="s">
        <v>46</v>
      </c>
      <c r="C445" t="s">
        <v>46</v>
      </c>
      <c r="D445" t="s">
        <v>33</v>
      </c>
      <c r="E445" t="s">
        <v>34</v>
      </c>
      <c r="F445" t="str">
        <f>"0000772"</f>
        <v>0000772</v>
      </c>
      <c r="G445">
        <v>1</v>
      </c>
      <c r="H445" t="str">
        <f>"00000000"</f>
        <v>00000000</v>
      </c>
      <c r="I445" t="s">
        <v>35</v>
      </c>
      <c r="J445"/>
      <c r="K445">
        <v>7.63</v>
      </c>
      <c r="L445">
        <v>0.0</v>
      </c>
      <c r="M445"/>
      <c r="N445"/>
      <c r="O445">
        <v>1.37</v>
      </c>
      <c r="P445">
        <v>0.0</v>
      </c>
      <c r="Q445">
        <v>9.0</v>
      </c>
      <c r="R445"/>
      <c r="S445"/>
      <c r="T445"/>
      <c r="U445"/>
      <c r="V445"/>
      <c r="W445">
        <v>18</v>
      </c>
    </row>
    <row r="446" spans="1:23">
      <c r="A446"/>
      <c r="B446" t="s">
        <v>46</v>
      </c>
      <c r="C446" t="s">
        <v>46</v>
      </c>
      <c r="D446" t="s">
        <v>33</v>
      </c>
      <c r="E446" t="s">
        <v>34</v>
      </c>
      <c r="F446" t="str">
        <f>"0000773"</f>
        <v>0000773</v>
      </c>
      <c r="G446">
        <v>1</v>
      </c>
      <c r="H446" t="str">
        <f>"00000000"</f>
        <v>00000000</v>
      </c>
      <c r="I446" t="s">
        <v>35</v>
      </c>
      <c r="J446"/>
      <c r="K446">
        <v>0.72</v>
      </c>
      <c r="L446">
        <v>0.0</v>
      </c>
      <c r="M446"/>
      <c r="N446"/>
      <c r="O446">
        <v>0.13</v>
      </c>
      <c r="P446">
        <v>0.0</v>
      </c>
      <c r="Q446">
        <v>0.85</v>
      </c>
      <c r="R446"/>
      <c r="S446"/>
      <c r="T446"/>
      <c r="U446"/>
      <c r="V446"/>
      <c r="W446">
        <v>18</v>
      </c>
    </row>
    <row r="447" spans="1:23">
      <c r="A447"/>
      <c r="B447" t="s">
        <v>46</v>
      </c>
      <c r="C447" t="s">
        <v>46</v>
      </c>
      <c r="D447" t="s">
        <v>33</v>
      </c>
      <c r="E447" t="s">
        <v>34</v>
      </c>
      <c r="F447" t="str">
        <f>"0000774"</f>
        <v>0000774</v>
      </c>
      <c r="G447">
        <v>1</v>
      </c>
      <c r="H447" t="str">
        <f>"00000000"</f>
        <v>00000000</v>
      </c>
      <c r="I447" t="s">
        <v>35</v>
      </c>
      <c r="J447"/>
      <c r="K447">
        <v>53.11</v>
      </c>
      <c r="L447">
        <v>0.0</v>
      </c>
      <c r="M447"/>
      <c r="N447"/>
      <c r="O447">
        <v>9.56</v>
      </c>
      <c r="P447">
        <v>0.6</v>
      </c>
      <c r="Q447">
        <v>63.27</v>
      </c>
      <c r="R447"/>
      <c r="S447"/>
      <c r="T447"/>
      <c r="U447"/>
      <c r="V447"/>
      <c r="W447">
        <v>18</v>
      </c>
    </row>
    <row r="448" spans="1:23">
      <c r="A448"/>
      <c r="B448" t="s">
        <v>46</v>
      </c>
      <c r="C448" t="s">
        <v>46</v>
      </c>
      <c r="D448" t="s">
        <v>33</v>
      </c>
      <c r="E448" t="s">
        <v>34</v>
      </c>
      <c r="F448" t="str">
        <f>"0000775"</f>
        <v>0000775</v>
      </c>
      <c r="G448">
        <v>1</v>
      </c>
      <c r="H448" t="str">
        <f>"00000000"</f>
        <v>00000000</v>
      </c>
      <c r="I448" t="s">
        <v>35</v>
      </c>
      <c r="J448"/>
      <c r="K448">
        <v>43.22</v>
      </c>
      <c r="L448">
        <v>0.0</v>
      </c>
      <c r="M448"/>
      <c r="N448"/>
      <c r="O448">
        <v>7.78</v>
      </c>
      <c r="P448">
        <v>0.4</v>
      </c>
      <c r="Q448">
        <v>51.4</v>
      </c>
      <c r="R448"/>
      <c r="S448"/>
      <c r="T448"/>
      <c r="U448"/>
      <c r="V448"/>
      <c r="W448">
        <v>18</v>
      </c>
    </row>
    <row r="449" spans="1:23">
      <c r="A449"/>
      <c r="B449" t="s">
        <v>46</v>
      </c>
      <c r="C449" t="s">
        <v>46</v>
      </c>
      <c r="D449" t="s">
        <v>33</v>
      </c>
      <c r="E449" t="s">
        <v>34</v>
      </c>
      <c r="F449" t="str">
        <f>"0000776"</f>
        <v>0000776</v>
      </c>
      <c r="G449">
        <v>1</v>
      </c>
      <c r="H449" t="str">
        <f>"00000000"</f>
        <v>00000000</v>
      </c>
      <c r="I449" t="s">
        <v>35</v>
      </c>
      <c r="J449"/>
      <c r="K449">
        <v>5.93</v>
      </c>
      <c r="L449">
        <v>0.0</v>
      </c>
      <c r="M449"/>
      <c r="N449"/>
      <c r="O449">
        <v>1.07</v>
      </c>
      <c r="P449">
        <v>0.0</v>
      </c>
      <c r="Q449">
        <v>7.0</v>
      </c>
      <c r="R449"/>
      <c r="S449"/>
      <c r="T449"/>
      <c r="U449"/>
      <c r="V449"/>
      <c r="W449">
        <v>18</v>
      </c>
    </row>
    <row r="450" spans="1:23">
      <c r="A450"/>
      <c r="B450" t="s">
        <v>46</v>
      </c>
      <c r="C450" t="s">
        <v>46</v>
      </c>
      <c r="D450" t="s">
        <v>33</v>
      </c>
      <c r="E450" t="s">
        <v>34</v>
      </c>
      <c r="F450" t="str">
        <f>"0000777"</f>
        <v>0000777</v>
      </c>
      <c r="G450">
        <v>1</v>
      </c>
      <c r="H450" t="str">
        <f>"00000000"</f>
        <v>00000000</v>
      </c>
      <c r="I450" t="s">
        <v>35</v>
      </c>
      <c r="J450"/>
      <c r="K450">
        <v>66.59</v>
      </c>
      <c r="L450">
        <v>0.0</v>
      </c>
      <c r="M450"/>
      <c r="N450"/>
      <c r="O450">
        <v>11.99</v>
      </c>
      <c r="P450">
        <v>0.2</v>
      </c>
      <c r="Q450">
        <v>78.78</v>
      </c>
      <c r="R450"/>
      <c r="S450"/>
      <c r="T450"/>
      <c r="U450"/>
      <c r="V450"/>
      <c r="W450">
        <v>18</v>
      </c>
    </row>
    <row r="451" spans="1:23">
      <c r="A451"/>
      <c r="B451" t="s">
        <v>46</v>
      </c>
      <c r="C451" t="s">
        <v>46</v>
      </c>
      <c r="D451" t="s">
        <v>33</v>
      </c>
      <c r="E451" t="s">
        <v>34</v>
      </c>
      <c r="F451" t="str">
        <f>"0000778"</f>
        <v>0000778</v>
      </c>
      <c r="G451">
        <v>1</v>
      </c>
      <c r="H451" t="str">
        <f>"00000000"</f>
        <v>00000000</v>
      </c>
      <c r="I451" t="s">
        <v>35</v>
      </c>
      <c r="J451"/>
      <c r="K451">
        <v>265.0</v>
      </c>
      <c r="L451">
        <v>0.0</v>
      </c>
      <c r="M451"/>
      <c r="N451"/>
      <c r="O451">
        <v>47.7</v>
      </c>
      <c r="P451">
        <v>0.0</v>
      </c>
      <c r="Q451">
        <v>312.7</v>
      </c>
      <c r="R451"/>
      <c r="S451"/>
      <c r="T451"/>
      <c r="U451"/>
      <c r="V451"/>
      <c r="W451">
        <v>18</v>
      </c>
    </row>
    <row r="452" spans="1:23">
      <c r="A452"/>
      <c r="B452" t="s">
        <v>46</v>
      </c>
      <c r="C452" t="s">
        <v>46</v>
      </c>
      <c r="D452" t="s">
        <v>33</v>
      </c>
      <c r="E452" t="s">
        <v>34</v>
      </c>
      <c r="F452" t="str">
        <f>"0000779"</f>
        <v>0000779</v>
      </c>
      <c r="G452">
        <v>1</v>
      </c>
      <c r="H452" t="str">
        <f>"00000000"</f>
        <v>00000000</v>
      </c>
      <c r="I452" t="s">
        <v>35</v>
      </c>
      <c r="J452"/>
      <c r="K452">
        <v>6.1</v>
      </c>
      <c r="L452">
        <v>0.0</v>
      </c>
      <c r="M452"/>
      <c r="N452"/>
      <c r="O452">
        <v>1.1</v>
      </c>
      <c r="P452">
        <v>0.0</v>
      </c>
      <c r="Q452">
        <v>7.2</v>
      </c>
      <c r="R452"/>
      <c r="S452"/>
      <c r="T452"/>
      <c r="U452"/>
      <c r="V452"/>
      <c r="W452">
        <v>18</v>
      </c>
    </row>
    <row r="453" spans="1:23">
      <c r="A453"/>
      <c r="B453" t="s">
        <v>46</v>
      </c>
      <c r="C453" t="s">
        <v>46</v>
      </c>
      <c r="D453" t="s">
        <v>33</v>
      </c>
      <c r="E453" t="s">
        <v>34</v>
      </c>
      <c r="F453" t="str">
        <f>"0000780"</f>
        <v>0000780</v>
      </c>
      <c r="G453">
        <v>1</v>
      </c>
      <c r="H453" t="str">
        <f>"00000000"</f>
        <v>00000000</v>
      </c>
      <c r="I453" t="s">
        <v>35</v>
      </c>
      <c r="J453"/>
      <c r="K453">
        <v>58.16</v>
      </c>
      <c r="L453">
        <v>0.0</v>
      </c>
      <c r="M453"/>
      <c r="N453"/>
      <c r="O453">
        <v>10.47</v>
      </c>
      <c r="P453">
        <v>0.4</v>
      </c>
      <c r="Q453">
        <v>69.03</v>
      </c>
      <c r="R453"/>
      <c r="S453"/>
      <c r="T453"/>
      <c r="U453"/>
      <c r="V453"/>
      <c r="W453">
        <v>18</v>
      </c>
    </row>
    <row r="454" spans="1:23">
      <c r="A454"/>
      <c r="B454" t="s">
        <v>46</v>
      </c>
      <c r="C454" t="s">
        <v>46</v>
      </c>
      <c r="D454" t="s">
        <v>33</v>
      </c>
      <c r="E454" t="s">
        <v>34</v>
      </c>
      <c r="F454" t="str">
        <f>"0000781"</f>
        <v>0000781</v>
      </c>
      <c r="G454">
        <v>1</v>
      </c>
      <c r="H454" t="str">
        <f>"00000000"</f>
        <v>00000000</v>
      </c>
      <c r="I454" t="s">
        <v>35</v>
      </c>
      <c r="J454"/>
      <c r="K454">
        <v>96.25</v>
      </c>
      <c r="L454">
        <v>0.0</v>
      </c>
      <c r="M454"/>
      <c r="N454"/>
      <c r="O454">
        <v>17.32</v>
      </c>
      <c r="P454">
        <v>0.4</v>
      </c>
      <c r="Q454">
        <v>113.97</v>
      </c>
      <c r="R454"/>
      <c r="S454"/>
      <c r="T454"/>
      <c r="U454"/>
      <c r="V454"/>
      <c r="W454">
        <v>18</v>
      </c>
    </row>
    <row r="455" spans="1:23">
      <c r="A455"/>
      <c r="B455" t="s">
        <v>46</v>
      </c>
      <c r="C455" t="s">
        <v>46</v>
      </c>
      <c r="D455" t="s">
        <v>33</v>
      </c>
      <c r="E455" t="s">
        <v>34</v>
      </c>
      <c r="F455" t="str">
        <f>"0000782"</f>
        <v>0000782</v>
      </c>
      <c r="G455">
        <v>1</v>
      </c>
      <c r="H455" t="str">
        <f>"00000000"</f>
        <v>00000000</v>
      </c>
      <c r="I455" t="s">
        <v>35</v>
      </c>
      <c r="J455"/>
      <c r="K455">
        <v>2.12</v>
      </c>
      <c r="L455">
        <v>0.0</v>
      </c>
      <c r="M455"/>
      <c r="N455"/>
      <c r="O455">
        <v>0.38</v>
      </c>
      <c r="P455">
        <v>0.0</v>
      </c>
      <c r="Q455">
        <v>2.5</v>
      </c>
      <c r="R455"/>
      <c r="S455"/>
      <c r="T455"/>
      <c r="U455"/>
      <c r="V455"/>
      <c r="W455">
        <v>18</v>
      </c>
    </row>
    <row r="456" spans="1:23">
      <c r="A456"/>
      <c r="B456" t="s">
        <v>46</v>
      </c>
      <c r="C456" t="s">
        <v>46</v>
      </c>
      <c r="D456" t="s">
        <v>33</v>
      </c>
      <c r="E456" t="s">
        <v>34</v>
      </c>
      <c r="F456" t="str">
        <f>"0000783"</f>
        <v>0000783</v>
      </c>
      <c r="G456">
        <v>1</v>
      </c>
      <c r="H456" t="str">
        <f>"00000000"</f>
        <v>00000000</v>
      </c>
      <c r="I456" t="s">
        <v>35</v>
      </c>
      <c r="J456"/>
      <c r="K456">
        <v>12.8</v>
      </c>
      <c r="L456">
        <v>0.0</v>
      </c>
      <c r="M456"/>
      <c r="N456"/>
      <c r="O456">
        <v>2.3</v>
      </c>
      <c r="P456">
        <v>0.2</v>
      </c>
      <c r="Q456">
        <v>15.3</v>
      </c>
      <c r="R456"/>
      <c r="S456"/>
      <c r="T456"/>
      <c r="U456"/>
      <c r="V456"/>
      <c r="W456">
        <v>18</v>
      </c>
    </row>
    <row r="457" spans="1:23">
      <c r="A457"/>
      <c r="B457" t="s">
        <v>46</v>
      </c>
      <c r="C457" t="s">
        <v>46</v>
      </c>
      <c r="D457" t="s">
        <v>36</v>
      </c>
      <c r="E457" t="s">
        <v>37</v>
      </c>
      <c r="F457" t="str">
        <f>"0000019"</f>
        <v>0000019</v>
      </c>
      <c r="G457">
        <v>6</v>
      </c>
      <c r="H457" t="str">
        <f>"20136316541"</f>
        <v>20136316541</v>
      </c>
      <c r="I457" t="s">
        <v>47</v>
      </c>
      <c r="J457"/>
      <c r="K457">
        <v>12.29</v>
      </c>
      <c r="L457">
        <v>0.0</v>
      </c>
      <c r="M457"/>
      <c r="N457"/>
      <c r="O457">
        <v>2.21</v>
      </c>
      <c r="P457">
        <v>0.0</v>
      </c>
      <c r="Q457">
        <v>14.5</v>
      </c>
      <c r="R457"/>
      <c r="S457"/>
      <c r="T457"/>
      <c r="U457"/>
      <c r="V457"/>
      <c r="W457">
        <v>18</v>
      </c>
    </row>
    <row r="458" spans="1:23">
      <c r="A458"/>
      <c r="B458" t="s">
        <v>46</v>
      </c>
      <c r="C458" t="s">
        <v>46</v>
      </c>
      <c r="D458" t="s">
        <v>33</v>
      </c>
      <c r="E458" t="s">
        <v>34</v>
      </c>
      <c r="F458" t="str">
        <f>"0000784"</f>
        <v>0000784</v>
      </c>
      <c r="G458">
        <v>1</v>
      </c>
      <c r="H458" t="str">
        <f>"00000000"</f>
        <v>00000000</v>
      </c>
      <c r="I458" t="s">
        <v>35</v>
      </c>
      <c r="J458"/>
      <c r="K458">
        <v>21.68</v>
      </c>
      <c r="L458">
        <v>0.0</v>
      </c>
      <c r="M458"/>
      <c r="N458"/>
      <c r="O458">
        <v>3.9</v>
      </c>
      <c r="P458">
        <v>0.2</v>
      </c>
      <c r="Q458">
        <v>25.78</v>
      </c>
      <c r="R458"/>
      <c r="S458"/>
      <c r="T458"/>
      <c r="U458"/>
      <c r="V458"/>
      <c r="W458">
        <v>18</v>
      </c>
    </row>
    <row r="459" spans="1:23">
      <c r="A459"/>
      <c r="B459" t="s">
        <v>46</v>
      </c>
      <c r="C459" t="s">
        <v>46</v>
      </c>
      <c r="D459" t="s">
        <v>33</v>
      </c>
      <c r="E459" t="s">
        <v>34</v>
      </c>
      <c r="F459" t="str">
        <f>"0000785"</f>
        <v>0000785</v>
      </c>
      <c r="G459">
        <v>1</v>
      </c>
      <c r="H459" t="str">
        <f>"00000000"</f>
        <v>00000000</v>
      </c>
      <c r="I459" t="s">
        <v>35</v>
      </c>
      <c r="J459"/>
      <c r="K459">
        <v>4.23</v>
      </c>
      <c r="L459">
        <v>0.0</v>
      </c>
      <c r="M459"/>
      <c r="N459"/>
      <c r="O459">
        <v>0.76</v>
      </c>
      <c r="P459">
        <v>0.0</v>
      </c>
      <c r="Q459">
        <v>4.99</v>
      </c>
      <c r="R459"/>
      <c r="S459"/>
      <c r="T459"/>
      <c r="U459"/>
      <c r="V459"/>
      <c r="W459">
        <v>18</v>
      </c>
    </row>
    <row r="460" spans="1:23">
      <c r="A460"/>
      <c r="B460" t="s">
        <v>46</v>
      </c>
      <c r="C460" t="s">
        <v>46</v>
      </c>
      <c r="D460" t="s">
        <v>33</v>
      </c>
      <c r="E460" t="s">
        <v>34</v>
      </c>
      <c r="F460" t="str">
        <f>"0000786"</f>
        <v>0000786</v>
      </c>
      <c r="G460">
        <v>1</v>
      </c>
      <c r="H460" t="str">
        <f>"00000000"</f>
        <v>00000000</v>
      </c>
      <c r="I460" t="s">
        <v>35</v>
      </c>
      <c r="J460"/>
      <c r="K460">
        <v>7.63</v>
      </c>
      <c r="L460">
        <v>0.0</v>
      </c>
      <c r="M460"/>
      <c r="N460"/>
      <c r="O460">
        <v>1.37</v>
      </c>
      <c r="P460">
        <v>0.0</v>
      </c>
      <c r="Q460">
        <v>9.0</v>
      </c>
      <c r="R460"/>
      <c r="S460"/>
      <c r="T460"/>
      <c r="U460"/>
      <c r="V460"/>
      <c r="W460">
        <v>18</v>
      </c>
    </row>
    <row r="461" spans="1:23">
      <c r="A461"/>
      <c r="B461" t="s">
        <v>46</v>
      </c>
      <c r="C461" t="s">
        <v>46</v>
      </c>
      <c r="D461" t="s">
        <v>33</v>
      </c>
      <c r="E461" t="s">
        <v>34</v>
      </c>
      <c r="F461" t="str">
        <f>"0000787"</f>
        <v>0000787</v>
      </c>
      <c r="G461">
        <v>1</v>
      </c>
      <c r="H461" t="str">
        <f>"00000000"</f>
        <v>00000000</v>
      </c>
      <c r="I461" t="s">
        <v>35</v>
      </c>
      <c r="J461"/>
      <c r="K461">
        <v>10.72</v>
      </c>
      <c r="L461">
        <v>0.0</v>
      </c>
      <c r="M461"/>
      <c r="N461"/>
      <c r="O461">
        <v>1.93</v>
      </c>
      <c r="P461">
        <v>0.2</v>
      </c>
      <c r="Q461">
        <v>12.85</v>
      </c>
      <c r="R461"/>
      <c r="S461"/>
      <c r="T461"/>
      <c r="U461"/>
      <c r="V461"/>
      <c r="W461">
        <v>18</v>
      </c>
    </row>
    <row r="462" spans="1:23">
      <c r="A462"/>
      <c r="B462" t="s">
        <v>46</v>
      </c>
      <c r="C462" t="s">
        <v>46</v>
      </c>
      <c r="D462" t="s">
        <v>33</v>
      </c>
      <c r="E462" t="s">
        <v>34</v>
      </c>
      <c r="F462" t="str">
        <f>"0000788"</f>
        <v>0000788</v>
      </c>
      <c r="G462">
        <v>1</v>
      </c>
      <c r="H462" t="str">
        <f>"00000000"</f>
        <v>00000000</v>
      </c>
      <c r="I462" t="s">
        <v>35</v>
      </c>
      <c r="J462"/>
      <c r="K462">
        <v>3.13</v>
      </c>
      <c r="L462">
        <v>0.0</v>
      </c>
      <c r="M462"/>
      <c r="N462"/>
      <c r="O462">
        <v>0.56</v>
      </c>
      <c r="P462">
        <v>0.0</v>
      </c>
      <c r="Q462">
        <v>3.69</v>
      </c>
      <c r="R462"/>
      <c r="S462"/>
      <c r="T462"/>
      <c r="U462"/>
      <c r="V462"/>
      <c r="W462">
        <v>18</v>
      </c>
    </row>
    <row r="463" spans="1:23">
      <c r="A463"/>
      <c r="B463" t="s">
        <v>46</v>
      </c>
      <c r="C463" t="s">
        <v>46</v>
      </c>
      <c r="D463" t="s">
        <v>33</v>
      </c>
      <c r="E463" t="s">
        <v>34</v>
      </c>
      <c r="F463" t="str">
        <f>"0000789"</f>
        <v>0000789</v>
      </c>
      <c r="G463">
        <v>1</v>
      </c>
      <c r="H463" t="str">
        <f>"00000000"</f>
        <v>00000000</v>
      </c>
      <c r="I463" t="s">
        <v>35</v>
      </c>
      <c r="J463"/>
      <c r="K463">
        <v>11.53</v>
      </c>
      <c r="L463">
        <v>0.0</v>
      </c>
      <c r="M463"/>
      <c r="N463"/>
      <c r="O463">
        <v>2.07</v>
      </c>
      <c r="P463">
        <v>0.2</v>
      </c>
      <c r="Q463">
        <v>13.8</v>
      </c>
      <c r="R463"/>
      <c r="S463"/>
      <c r="T463"/>
      <c r="U463"/>
      <c r="V463"/>
      <c r="W463">
        <v>18</v>
      </c>
    </row>
    <row r="464" spans="1:23">
      <c r="A464"/>
      <c r="B464" t="s">
        <v>46</v>
      </c>
      <c r="C464" t="s">
        <v>46</v>
      </c>
      <c r="D464" t="s">
        <v>33</v>
      </c>
      <c r="E464" t="s">
        <v>34</v>
      </c>
      <c r="F464" t="str">
        <f>"0000790"</f>
        <v>0000790</v>
      </c>
      <c r="G464">
        <v>1</v>
      </c>
      <c r="H464" t="str">
        <f>"00000000"</f>
        <v>00000000</v>
      </c>
      <c r="I464" t="s">
        <v>35</v>
      </c>
      <c r="J464"/>
      <c r="K464">
        <v>2.43</v>
      </c>
      <c r="L464">
        <v>0.0</v>
      </c>
      <c r="M464"/>
      <c r="N464"/>
      <c r="O464">
        <v>0.44</v>
      </c>
      <c r="P464">
        <v>0.2</v>
      </c>
      <c r="Q464">
        <v>3.07</v>
      </c>
      <c r="R464"/>
      <c r="S464"/>
      <c r="T464"/>
      <c r="U464"/>
      <c r="V464"/>
      <c r="W464">
        <v>18</v>
      </c>
    </row>
    <row r="465" spans="1:23">
      <c r="A465"/>
      <c r="B465" t="s">
        <v>46</v>
      </c>
      <c r="C465" t="s">
        <v>46</v>
      </c>
      <c r="D465" t="s">
        <v>33</v>
      </c>
      <c r="E465" t="s">
        <v>34</v>
      </c>
      <c r="F465" t="str">
        <f>"0000791"</f>
        <v>0000791</v>
      </c>
      <c r="G465">
        <v>1</v>
      </c>
      <c r="H465" t="str">
        <f>"00000000"</f>
        <v>00000000</v>
      </c>
      <c r="I465" t="s">
        <v>35</v>
      </c>
      <c r="J465"/>
      <c r="K465">
        <v>1.37</v>
      </c>
      <c r="L465">
        <v>0.0</v>
      </c>
      <c r="M465"/>
      <c r="N465"/>
      <c r="O465">
        <v>0.25</v>
      </c>
      <c r="P465">
        <v>0.0</v>
      </c>
      <c r="Q465">
        <v>1.62</v>
      </c>
      <c r="R465"/>
      <c r="S465"/>
      <c r="T465"/>
      <c r="U465"/>
      <c r="V465"/>
      <c r="W465">
        <v>18</v>
      </c>
    </row>
    <row r="466" spans="1:23">
      <c r="A466"/>
      <c r="B466" t="s">
        <v>46</v>
      </c>
      <c r="C466" t="s">
        <v>46</v>
      </c>
      <c r="D466" t="s">
        <v>33</v>
      </c>
      <c r="E466" t="s">
        <v>34</v>
      </c>
      <c r="F466" t="str">
        <f>"0000792"</f>
        <v>0000792</v>
      </c>
      <c r="G466">
        <v>1</v>
      </c>
      <c r="H466" t="str">
        <f>"00000000"</f>
        <v>00000000</v>
      </c>
      <c r="I466" t="s">
        <v>35</v>
      </c>
      <c r="J466"/>
      <c r="K466">
        <v>13.72</v>
      </c>
      <c r="L466">
        <v>0.0</v>
      </c>
      <c r="M466"/>
      <c r="N466"/>
      <c r="O466">
        <v>2.47</v>
      </c>
      <c r="P466">
        <v>0.0</v>
      </c>
      <c r="Q466">
        <v>16.18</v>
      </c>
      <c r="R466"/>
      <c r="S466"/>
      <c r="T466"/>
      <c r="U466"/>
      <c r="V466"/>
      <c r="W466">
        <v>18</v>
      </c>
    </row>
    <row r="467" spans="1:23">
      <c r="A467"/>
      <c r="B467" t="s">
        <v>46</v>
      </c>
      <c r="C467" t="s">
        <v>46</v>
      </c>
      <c r="D467" t="s">
        <v>33</v>
      </c>
      <c r="E467" t="s">
        <v>34</v>
      </c>
      <c r="F467" t="str">
        <f>"0000793"</f>
        <v>0000793</v>
      </c>
      <c r="G467">
        <v>1</v>
      </c>
      <c r="H467" t="str">
        <f>"00000000"</f>
        <v>00000000</v>
      </c>
      <c r="I467" t="s">
        <v>35</v>
      </c>
      <c r="J467"/>
      <c r="K467">
        <v>1.02</v>
      </c>
      <c r="L467">
        <v>0.0</v>
      </c>
      <c r="M467"/>
      <c r="N467"/>
      <c r="O467">
        <v>0.18</v>
      </c>
      <c r="P467">
        <v>0.0</v>
      </c>
      <c r="Q467">
        <v>1.2</v>
      </c>
      <c r="R467"/>
      <c r="S467"/>
      <c r="T467"/>
      <c r="U467"/>
      <c r="V467"/>
      <c r="W467">
        <v>18</v>
      </c>
    </row>
    <row r="468" spans="1:23">
      <c r="A468"/>
      <c r="B468" t="s">
        <v>46</v>
      </c>
      <c r="C468" t="s">
        <v>46</v>
      </c>
      <c r="D468" t="s">
        <v>33</v>
      </c>
      <c r="E468" t="s">
        <v>34</v>
      </c>
      <c r="F468" t="str">
        <f>"0000794"</f>
        <v>0000794</v>
      </c>
      <c r="G468">
        <v>1</v>
      </c>
      <c r="H468" t="str">
        <f>"00000000"</f>
        <v>00000000</v>
      </c>
      <c r="I468" t="s">
        <v>35</v>
      </c>
      <c r="J468"/>
      <c r="K468">
        <v>12.71</v>
      </c>
      <c r="L468">
        <v>0.0</v>
      </c>
      <c r="M468"/>
      <c r="N468"/>
      <c r="O468">
        <v>2.29</v>
      </c>
      <c r="P468">
        <v>0.0</v>
      </c>
      <c r="Q468">
        <v>15.0</v>
      </c>
      <c r="R468"/>
      <c r="S468"/>
      <c r="T468"/>
      <c r="U468"/>
      <c r="V468"/>
      <c r="W468">
        <v>18</v>
      </c>
    </row>
    <row r="469" spans="1:23">
      <c r="A469"/>
      <c r="B469" t="s">
        <v>46</v>
      </c>
      <c r="C469" t="s">
        <v>46</v>
      </c>
      <c r="D469" t="s">
        <v>33</v>
      </c>
      <c r="E469" t="s">
        <v>34</v>
      </c>
      <c r="F469" t="str">
        <f>"0000795"</f>
        <v>0000795</v>
      </c>
      <c r="G469">
        <v>1</v>
      </c>
      <c r="H469" t="str">
        <f>"00000000"</f>
        <v>00000000</v>
      </c>
      <c r="I469" t="s">
        <v>35</v>
      </c>
      <c r="J469"/>
      <c r="K469">
        <v>1.53</v>
      </c>
      <c r="L469">
        <v>0.0</v>
      </c>
      <c r="M469"/>
      <c r="N469"/>
      <c r="O469">
        <v>0.27</v>
      </c>
      <c r="P469">
        <v>0.0</v>
      </c>
      <c r="Q469">
        <v>1.8</v>
      </c>
      <c r="R469"/>
      <c r="S469"/>
      <c r="T469"/>
      <c r="U469"/>
      <c r="V469"/>
      <c r="W469">
        <v>18</v>
      </c>
    </row>
    <row r="470" spans="1:23">
      <c r="A470"/>
      <c r="B470" t="s">
        <v>46</v>
      </c>
      <c r="C470" t="s">
        <v>46</v>
      </c>
      <c r="D470" t="s">
        <v>33</v>
      </c>
      <c r="E470" t="s">
        <v>34</v>
      </c>
      <c r="F470" t="str">
        <f>"0000796"</f>
        <v>0000796</v>
      </c>
      <c r="G470">
        <v>1</v>
      </c>
      <c r="H470" t="str">
        <f>"00000000"</f>
        <v>00000000</v>
      </c>
      <c r="I470" t="s">
        <v>35</v>
      </c>
      <c r="J470"/>
      <c r="K470">
        <v>15.25</v>
      </c>
      <c r="L470">
        <v>0.0</v>
      </c>
      <c r="M470"/>
      <c r="N470"/>
      <c r="O470">
        <v>2.75</v>
      </c>
      <c r="P470">
        <v>0.0</v>
      </c>
      <c r="Q470">
        <v>18.0</v>
      </c>
      <c r="R470"/>
      <c r="S470"/>
      <c r="T470"/>
      <c r="U470"/>
      <c r="V470"/>
      <c r="W470">
        <v>18</v>
      </c>
    </row>
    <row r="471" spans="1:23">
      <c r="A471"/>
      <c r="B471" t="s">
        <v>46</v>
      </c>
      <c r="C471" t="s">
        <v>46</v>
      </c>
      <c r="D471" t="s">
        <v>33</v>
      </c>
      <c r="E471" t="s">
        <v>34</v>
      </c>
      <c r="F471" t="str">
        <f>"0000797"</f>
        <v>0000797</v>
      </c>
      <c r="G471">
        <v>1</v>
      </c>
      <c r="H471" t="str">
        <f>"00000000"</f>
        <v>00000000</v>
      </c>
      <c r="I471" t="s">
        <v>35</v>
      </c>
      <c r="J471"/>
      <c r="K471">
        <v>38.2</v>
      </c>
      <c r="L471">
        <v>0.0</v>
      </c>
      <c r="M471"/>
      <c r="N471"/>
      <c r="O471">
        <v>6.88</v>
      </c>
      <c r="P471">
        <v>0.2</v>
      </c>
      <c r="Q471">
        <v>45.28</v>
      </c>
      <c r="R471"/>
      <c r="S471"/>
      <c r="T471"/>
      <c r="U471"/>
      <c r="V471"/>
      <c r="W471">
        <v>18</v>
      </c>
    </row>
    <row r="472" spans="1:23">
      <c r="A472"/>
      <c r="B472" t="s">
        <v>46</v>
      </c>
      <c r="C472" t="s">
        <v>46</v>
      </c>
      <c r="D472" t="s">
        <v>33</v>
      </c>
      <c r="E472" t="s">
        <v>34</v>
      </c>
      <c r="F472" t="str">
        <f>"0000798"</f>
        <v>0000798</v>
      </c>
      <c r="G472">
        <v>1</v>
      </c>
      <c r="H472" t="str">
        <f>"00000000"</f>
        <v>00000000</v>
      </c>
      <c r="I472" t="s">
        <v>35</v>
      </c>
      <c r="J472"/>
      <c r="K472">
        <v>6.6</v>
      </c>
      <c r="L472">
        <v>0.0</v>
      </c>
      <c r="M472"/>
      <c r="N472"/>
      <c r="O472">
        <v>1.19</v>
      </c>
      <c r="P472">
        <v>0.0</v>
      </c>
      <c r="Q472">
        <v>7.79</v>
      </c>
      <c r="R472"/>
      <c r="S472"/>
      <c r="T472"/>
      <c r="U472"/>
      <c r="V472"/>
      <c r="W472">
        <v>18</v>
      </c>
    </row>
    <row r="473" spans="1:23">
      <c r="A473"/>
      <c r="B473" t="s">
        <v>46</v>
      </c>
      <c r="C473" t="s">
        <v>46</v>
      </c>
      <c r="D473" t="s">
        <v>33</v>
      </c>
      <c r="E473" t="s">
        <v>34</v>
      </c>
      <c r="F473" t="str">
        <f>"0000799"</f>
        <v>0000799</v>
      </c>
      <c r="G473">
        <v>1</v>
      </c>
      <c r="H473" t="str">
        <f>"00000000"</f>
        <v>00000000</v>
      </c>
      <c r="I473" t="s">
        <v>35</v>
      </c>
      <c r="J473"/>
      <c r="K473">
        <v>68.36</v>
      </c>
      <c r="L473">
        <v>0.0</v>
      </c>
      <c r="M473"/>
      <c r="N473"/>
      <c r="O473">
        <v>12.3</v>
      </c>
      <c r="P473">
        <v>0.2</v>
      </c>
      <c r="Q473">
        <v>80.86</v>
      </c>
      <c r="R473"/>
      <c r="S473"/>
      <c r="T473"/>
      <c r="U473"/>
      <c r="V473"/>
      <c r="W473">
        <v>18</v>
      </c>
    </row>
    <row r="474" spans="1:23">
      <c r="A474"/>
      <c r="B474" t="s">
        <v>46</v>
      </c>
      <c r="C474" t="s">
        <v>46</v>
      </c>
      <c r="D474" t="s">
        <v>33</v>
      </c>
      <c r="E474" t="s">
        <v>34</v>
      </c>
      <c r="F474" t="str">
        <f>"0000800"</f>
        <v>0000800</v>
      </c>
      <c r="G474">
        <v>1</v>
      </c>
      <c r="H474" t="str">
        <f>"00000000"</f>
        <v>00000000</v>
      </c>
      <c r="I474" t="s">
        <v>35</v>
      </c>
      <c r="J474"/>
      <c r="K474">
        <v>5.93</v>
      </c>
      <c r="L474">
        <v>0.0</v>
      </c>
      <c r="M474"/>
      <c r="N474"/>
      <c r="O474">
        <v>1.07</v>
      </c>
      <c r="P474">
        <v>0.0</v>
      </c>
      <c r="Q474">
        <v>7.0</v>
      </c>
      <c r="R474"/>
      <c r="S474"/>
      <c r="T474"/>
      <c r="U474"/>
      <c r="V474"/>
      <c r="W474">
        <v>18</v>
      </c>
    </row>
    <row r="475" spans="1:23">
      <c r="A475"/>
      <c r="B475" t="s">
        <v>46</v>
      </c>
      <c r="C475" t="s">
        <v>46</v>
      </c>
      <c r="D475" t="s">
        <v>33</v>
      </c>
      <c r="E475" t="s">
        <v>34</v>
      </c>
      <c r="F475" t="str">
        <f>"0000801"</f>
        <v>0000801</v>
      </c>
      <c r="G475">
        <v>1</v>
      </c>
      <c r="H475" t="str">
        <f>"00000000"</f>
        <v>00000000</v>
      </c>
      <c r="I475" t="s">
        <v>35</v>
      </c>
      <c r="J475"/>
      <c r="K475">
        <v>7.46</v>
      </c>
      <c r="L475">
        <v>0.0</v>
      </c>
      <c r="M475"/>
      <c r="N475"/>
      <c r="O475">
        <v>1.34</v>
      </c>
      <c r="P475">
        <v>0.0</v>
      </c>
      <c r="Q475">
        <v>8.8</v>
      </c>
      <c r="R475"/>
      <c r="S475"/>
      <c r="T475"/>
      <c r="U475"/>
      <c r="V475"/>
      <c r="W475">
        <v>18</v>
      </c>
    </row>
    <row r="476" spans="1:23">
      <c r="A476"/>
      <c r="B476" t="s">
        <v>46</v>
      </c>
      <c r="C476" t="s">
        <v>46</v>
      </c>
      <c r="D476" t="s">
        <v>33</v>
      </c>
      <c r="E476" t="s">
        <v>34</v>
      </c>
      <c r="F476" t="str">
        <f>"0000802"</f>
        <v>0000802</v>
      </c>
      <c r="G476">
        <v>1</v>
      </c>
      <c r="H476" t="str">
        <f>"00000000"</f>
        <v>00000000</v>
      </c>
      <c r="I476" t="s">
        <v>35</v>
      </c>
      <c r="J476"/>
      <c r="K476">
        <v>47.46</v>
      </c>
      <c r="L476">
        <v>0.0</v>
      </c>
      <c r="M476"/>
      <c r="N476"/>
      <c r="O476">
        <v>8.54</v>
      </c>
      <c r="P476">
        <v>0.0</v>
      </c>
      <c r="Q476">
        <v>56.0</v>
      </c>
      <c r="R476"/>
      <c r="S476"/>
      <c r="T476"/>
      <c r="U476"/>
      <c r="V476"/>
      <c r="W476">
        <v>18</v>
      </c>
    </row>
    <row r="477" spans="1:23">
      <c r="A477"/>
      <c r="B477" t="s">
        <v>46</v>
      </c>
      <c r="C477" t="s">
        <v>46</v>
      </c>
      <c r="D477" t="s">
        <v>33</v>
      </c>
      <c r="E477" t="s">
        <v>34</v>
      </c>
      <c r="F477" t="str">
        <f>"0000803"</f>
        <v>0000803</v>
      </c>
      <c r="G477">
        <v>1</v>
      </c>
      <c r="H477" t="str">
        <f>"00000000"</f>
        <v>00000000</v>
      </c>
      <c r="I477" t="s">
        <v>35</v>
      </c>
      <c r="J477"/>
      <c r="K477">
        <v>9.83</v>
      </c>
      <c r="L477">
        <v>0.0</v>
      </c>
      <c r="M477"/>
      <c r="N477"/>
      <c r="O477">
        <v>1.77</v>
      </c>
      <c r="P477">
        <v>0.2</v>
      </c>
      <c r="Q477">
        <v>11.8</v>
      </c>
      <c r="R477"/>
      <c r="S477"/>
      <c r="T477"/>
      <c r="U477"/>
      <c r="V477"/>
      <c r="W477">
        <v>18</v>
      </c>
    </row>
    <row r="478" spans="1:23">
      <c r="A478"/>
      <c r="B478" t="s">
        <v>46</v>
      </c>
      <c r="C478" t="s">
        <v>46</v>
      </c>
      <c r="D478" t="s">
        <v>33</v>
      </c>
      <c r="E478" t="s">
        <v>34</v>
      </c>
      <c r="F478" t="str">
        <f>"0000804"</f>
        <v>0000804</v>
      </c>
      <c r="G478">
        <v>1</v>
      </c>
      <c r="H478" t="str">
        <f>"00000000"</f>
        <v>00000000</v>
      </c>
      <c r="I478" t="s">
        <v>35</v>
      </c>
      <c r="J478"/>
      <c r="K478">
        <v>10.39</v>
      </c>
      <c r="L478">
        <v>0.0</v>
      </c>
      <c r="M478"/>
      <c r="N478"/>
      <c r="O478">
        <v>1.87</v>
      </c>
      <c r="P478">
        <v>0.0</v>
      </c>
      <c r="Q478">
        <v>12.26</v>
      </c>
      <c r="R478"/>
      <c r="S478"/>
      <c r="T478"/>
      <c r="U478"/>
      <c r="V478"/>
      <c r="W478">
        <v>18</v>
      </c>
    </row>
    <row r="479" spans="1:23">
      <c r="A479"/>
      <c r="B479" t="s">
        <v>46</v>
      </c>
      <c r="C479" t="s">
        <v>46</v>
      </c>
      <c r="D479" t="s">
        <v>33</v>
      </c>
      <c r="E479" t="s">
        <v>34</v>
      </c>
      <c r="F479" t="str">
        <f>"0000805"</f>
        <v>0000805</v>
      </c>
      <c r="G479">
        <v>1</v>
      </c>
      <c r="H479" t="str">
        <f>"00000000"</f>
        <v>00000000</v>
      </c>
      <c r="I479" t="s">
        <v>35</v>
      </c>
      <c r="J479"/>
      <c r="K479">
        <v>1.86</v>
      </c>
      <c r="L479">
        <v>0.0</v>
      </c>
      <c r="M479"/>
      <c r="N479"/>
      <c r="O479">
        <v>0.34</v>
      </c>
      <c r="P479">
        <v>0.0</v>
      </c>
      <c r="Q479">
        <v>2.2</v>
      </c>
      <c r="R479"/>
      <c r="S479"/>
      <c r="T479"/>
      <c r="U479"/>
      <c r="V479"/>
      <c r="W479">
        <v>18</v>
      </c>
    </row>
    <row r="480" spans="1:23">
      <c r="A480"/>
      <c r="B480" t="s">
        <v>46</v>
      </c>
      <c r="C480" t="s">
        <v>46</v>
      </c>
      <c r="D480" t="s">
        <v>33</v>
      </c>
      <c r="E480" t="s">
        <v>34</v>
      </c>
      <c r="F480" t="str">
        <f>"0000806"</f>
        <v>0000806</v>
      </c>
      <c r="G480">
        <v>1</v>
      </c>
      <c r="H480" t="str">
        <f>"00000000"</f>
        <v>00000000</v>
      </c>
      <c r="I480" t="s">
        <v>35</v>
      </c>
      <c r="J480"/>
      <c r="K480">
        <v>25.34</v>
      </c>
      <c r="L480">
        <v>0.0</v>
      </c>
      <c r="M480"/>
      <c r="N480"/>
      <c r="O480">
        <v>4.56</v>
      </c>
      <c r="P480">
        <v>0.2</v>
      </c>
      <c r="Q480">
        <v>30.1</v>
      </c>
      <c r="R480"/>
      <c r="S480"/>
      <c r="T480"/>
      <c r="U480"/>
      <c r="V480"/>
      <c r="W480">
        <v>18</v>
      </c>
    </row>
    <row r="481" spans="1:23">
      <c r="A481"/>
      <c r="B481" t="s">
        <v>46</v>
      </c>
      <c r="C481" t="s">
        <v>46</v>
      </c>
      <c r="D481" t="s">
        <v>33</v>
      </c>
      <c r="E481" t="s">
        <v>34</v>
      </c>
      <c r="F481" t="str">
        <f>"0000807"</f>
        <v>0000807</v>
      </c>
      <c r="G481">
        <v>1</v>
      </c>
      <c r="H481" t="str">
        <f>"00000000"</f>
        <v>00000000</v>
      </c>
      <c r="I481" t="s">
        <v>35</v>
      </c>
      <c r="J481"/>
      <c r="K481">
        <v>1.86</v>
      </c>
      <c r="L481">
        <v>0.0</v>
      </c>
      <c r="M481"/>
      <c r="N481"/>
      <c r="O481">
        <v>0.34</v>
      </c>
      <c r="P481">
        <v>0.0</v>
      </c>
      <c r="Q481">
        <v>2.2</v>
      </c>
      <c r="R481"/>
      <c r="S481"/>
      <c r="T481"/>
      <c r="U481"/>
      <c r="V481"/>
      <c r="W481">
        <v>18</v>
      </c>
    </row>
    <row r="482" spans="1:23">
      <c r="A482"/>
      <c r="B482" t="s">
        <v>46</v>
      </c>
      <c r="C482" t="s">
        <v>46</v>
      </c>
      <c r="D482" t="s">
        <v>33</v>
      </c>
      <c r="E482" t="s">
        <v>34</v>
      </c>
      <c r="F482" t="str">
        <f>"0000808"</f>
        <v>0000808</v>
      </c>
      <c r="G482">
        <v>1</v>
      </c>
      <c r="H482" t="str">
        <f>"00000000"</f>
        <v>00000000</v>
      </c>
      <c r="I482" t="s">
        <v>35</v>
      </c>
      <c r="J482"/>
      <c r="K482">
        <v>30.34</v>
      </c>
      <c r="L482">
        <v>0.0</v>
      </c>
      <c r="M482"/>
      <c r="N482"/>
      <c r="O482">
        <v>5.46</v>
      </c>
      <c r="P482">
        <v>0.0</v>
      </c>
      <c r="Q482">
        <v>35.8</v>
      </c>
      <c r="R482"/>
      <c r="S482"/>
      <c r="T482"/>
      <c r="U482"/>
      <c r="V482"/>
      <c r="W482">
        <v>18</v>
      </c>
    </row>
    <row r="483" spans="1:23">
      <c r="A483"/>
      <c r="B483" t="s">
        <v>46</v>
      </c>
      <c r="C483" t="s">
        <v>46</v>
      </c>
      <c r="D483" t="s">
        <v>33</v>
      </c>
      <c r="E483" t="s">
        <v>34</v>
      </c>
      <c r="F483" t="str">
        <f>"0000809"</f>
        <v>0000809</v>
      </c>
      <c r="G483">
        <v>1</v>
      </c>
      <c r="H483" t="str">
        <f>"00000000"</f>
        <v>00000000</v>
      </c>
      <c r="I483" t="s">
        <v>35</v>
      </c>
      <c r="J483"/>
      <c r="K483">
        <v>9.92</v>
      </c>
      <c r="L483">
        <v>0.0</v>
      </c>
      <c r="M483"/>
      <c r="N483"/>
      <c r="O483">
        <v>1.78</v>
      </c>
      <c r="P483">
        <v>0.2</v>
      </c>
      <c r="Q483">
        <v>11.9</v>
      </c>
      <c r="R483"/>
      <c r="S483"/>
      <c r="T483"/>
      <c r="U483"/>
      <c r="V483"/>
      <c r="W483">
        <v>18</v>
      </c>
    </row>
    <row r="484" spans="1:23">
      <c r="A484"/>
      <c r="B484" t="s">
        <v>46</v>
      </c>
      <c r="C484" t="s">
        <v>46</v>
      </c>
      <c r="D484" t="s">
        <v>33</v>
      </c>
      <c r="E484" t="s">
        <v>34</v>
      </c>
      <c r="F484" t="str">
        <f>"0000810"</f>
        <v>0000810</v>
      </c>
      <c r="G484">
        <v>1</v>
      </c>
      <c r="H484" t="str">
        <f>"00000000"</f>
        <v>00000000</v>
      </c>
      <c r="I484" t="s">
        <v>35</v>
      </c>
      <c r="J484"/>
      <c r="K484">
        <v>9.01</v>
      </c>
      <c r="L484">
        <v>0.0</v>
      </c>
      <c r="M484"/>
      <c r="N484"/>
      <c r="O484">
        <v>1.62</v>
      </c>
      <c r="P484">
        <v>0.0</v>
      </c>
      <c r="Q484">
        <v>10.63</v>
      </c>
      <c r="R484"/>
      <c r="S484"/>
      <c r="T484"/>
      <c r="U484"/>
      <c r="V484"/>
      <c r="W484">
        <v>18</v>
      </c>
    </row>
    <row r="485" spans="1:23">
      <c r="A485"/>
      <c r="B485" t="s">
        <v>46</v>
      </c>
      <c r="C485" t="s">
        <v>46</v>
      </c>
      <c r="D485" t="s">
        <v>33</v>
      </c>
      <c r="E485" t="s">
        <v>34</v>
      </c>
      <c r="F485" t="str">
        <f>"0000811"</f>
        <v>0000811</v>
      </c>
      <c r="G485">
        <v>1</v>
      </c>
      <c r="H485" t="str">
        <f>"00000000"</f>
        <v>00000000</v>
      </c>
      <c r="I485" t="s">
        <v>35</v>
      </c>
      <c r="J485"/>
      <c r="K485">
        <v>18.47</v>
      </c>
      <c r="L485">
        <v>0.0</v>
      </c>
      <c r="M485"/>
      <c r="N485"/>
      <c r="O485">
        <v>3.33</v>
      </c>
      <c r="P485">
        <v>0.2</v>
      </c>
      <c r="Q485">
        <v>22.0</v>
      </c>
      <c r="R485"/>
      <c r="S485"/>
      <c r="T485"/>
      <c r="U485"/>
      <c r="V485"/>
      <c r="W485">
        <v>18</v>
      </c>
    </row>
    <row r="486" spans="1:23">
      <c r="A486"/>
      <c r="B486" t="s">
        <v>46</v>
      </c>
      <c r="C486" t="s">
        <v>46</v>
      </c>
      <c r="D486" t="s">
        <v>33</v>
      </c>
      <c r="E486" t="s">
        <v>34</v>
      </c>
      <c r="F486" t="str">
        <f>"0000812"</f>
        <v>0000812</v>
      </c>
      <c r="G486">
        <v>1</v>
      </c>
      <c r="H486" t="str">
        <f>"00000000"</f>
        <v>00000000</v>
      </c>
      <c r="I486" t="s">
        <v>35</v>
      </c>
      <c r="J486"/>
      <c r="K486">
        <v>3.65</v>
      </c>
      <c r="L486">
        <v>0.0</v>
      </c>
      <c r="M486"/>
      <c r="N486"/>
      <c r="O486">
        <v>0.66</v>
      </c>
      <c r="P486">
        <v>0.0</v>
      </c>
      <c r="Q486">
        <v>4.31</v>
      </c>
      <c r="R486"/>
      <c r="S486"/>
      <c r="T486"/>
      <c r="U486"/>
      <c r="V486"/>
      <c r="W486">
        <v>18</v>
      </c>
    </row>
    <row r="487" spans="1:23">
      <c r="A487"/>
      <c r="B487" t="s">
        <v>46</v>
      </c>
      <c r="C487" t="s">
        <v>46</v>
      </c>
      <c r="D487" t="s">
        <v>33</v>
      </c>
      <c r="E487" t="s">
        <v>34</v>
      </c>
      <c r="F487" t="str">
        <f>"0000813"</f>
        <v>0000813</v>
      </c>
      <c r="G487">
        <v>1</v>
      </c>
      <c r="H487" t="str">
        <f>"00000000"</f>
        <v>00000000</v>
      </c>
      <c r="I487" t="s">
        <v>35</v>
      </c>
      <c r="J487"/>
      <c r="K487">
        <v>11.86</v>
      </c>
      <c r="L487">
        <v>0.0</v>
      </c>
      <c r="M487"/>
      <c r="N487"/>
      <c r="O487">
        <v>2.14</v>
      </c>
      <c r="P487">
        <v>0.0</v>
      </c>
      <c r="Q487">
        <v>14.0</v>
      </c>
      <c r="R487"/>
      <c r="S487"/>
      <c r="T487"/>
      <c r="U487"/>
      <c r="V487"/>
      <c r="W487">
        <v>18</v>
      </c>
    </row>
    <row r="488" spans="1:23">
      <c r="A488"/>
      <c r="B488" t="s">
        <v>46</v>
      </c>
      <c r="C488" t="s">
        <v>46</v>
      </c>
      <c r="D488" t="s">
        <v>33</v>
      </c>
      <c r="E488" t="s">
        <v>34</v>
      </c>
      <c r="F488" t="str">
        <f>"0000814"</f>
        <v>0000814</v>
      </c>
      <c r="G488">
        <v>1</v>
      </c>
      <c r="H488" t="str">
        <f>"00000000"</f>
        <v>00000000</v>
      </c>
      <c r="I488" t="s">
        <v>35</v>
      </c>
      <c r="J488"/>
      <c r="K488">
        <v>8.69</v>
      </c>
      <c r="L488">
        <v>0.0</v>
      </c>
      <c r="M488"/>
      <c r="N488"/>
      <c r="O488">
        <v>1.56</v>
      </c>
      <c r="P488">
        <v>0.2</v>
      </c>
      <c r="Q488">
        <v>10.45</v>
      </c>
      <c r="R488"/>
      <c r="S488"/>
      <c r="T488"/>
      <c r="U488"/>
      <c r="V488"/>
      <c r="W488">
        <v>18</v>
      </c>
    </row>
    <row r="489" spans="1:23">
      <c r="A489"/>
      <c r="B489" t="s">
        <v>46</v>
      </c>
      <c r="C489" t="s">
        <v>46</v>
      </c>
      <c r="D489" t="s">
        <v>33</v>
      </c>
      <c r="E489" t="s">
        <v>34</v>
      </c>
      <c r="F489" t="str">
        <f>"0000815"</f>
        <v>0000815</v>
      </c>
      <c r="G489">
        <v>1</v>
      </c>
      <c r="H489" t="str">
        <f>"00000000"</f>
        <v>00000000</v>
      </c>
      <c r="I489" t="s">
        <v>35</v>
      </c>
      <c r="J489"/>
      <c r="K489">
        <v>31.78</v>
      </c>
      <c r="L489">
        <v>0.0</v>
      </c>
      <c r="M489"/>
      <c r="N489"/>
      <c r="O489">
        <v>5.72</v>
      </c>
      <c r="P489">
        <v>0.2</v>
      </c>
      <c r="Q489">
        <v>37.7</v>
      </c>
      <c r="R489"/>
      <c r="S489"/>
      <c r="T489"/>
      <c r="U489"/>
      <c r="V489"/>
      <c r="W489">
        <v>18</v>
      </c>
    </row>
    <row r="490" spans="1:23">
      <c r="A490"/>
      <c r="B490" t="s">
        <v>46</v>
      </c>
      <c r="C490" t="s">
        <v>46</v>
      </c>
      <c r="D490" t="s">
        <v>33</v>
      </c>
      <c r="E490" t="s">
        <v>34</v>
      </c>
      <c r="F490" t="str">
        <f>"0000816"</f>
        <v>0000816</v>
      </c>
      <c r="G490">
        <v>1</v>
      </c>
      <c r="H490" t="str">
        <f>"00000000"</f>
        <v>00000000</v>
      </c>
      <c r="I490" t="s">
        <v>35</v>
      </c>
      <c r="J490"/>
      <c r="K490">
        <v>3.39</v>
      </c>
      <c r="L490">
        <v>0.0</v>
      </c>
      <c r="M490"/>
      <c r="N490"/>
      <c r="O490">
        <v>0.61</v>
      </c>
      <c r="P490">
        <v>0.0</v>
      </c>
      <c r="Q490">
        <v>4.0</v>
      </c>
      <c r="R490"/>
      <c r="S490"/>
      <c r="T490"/>
      <c r="U490"/>
      <c r="V490"/>
      <c r="W490">
        <v>18</v>
      </c>
    </row>
    <row r="491" spans="1:23">
      <c r="A491"/>
      <c r="B491" t="s">
        <v>46</v>
      </c>
      <c r="C491" t="s">
        <v>46</v>
      </c>
      <c r="D491" t="s">
        <v>33</v>
      </c>
      <c r="E491" t="s">
        <v>34</v>
      </c>
      <c r="F491" t="str">
        <f>"0000817"</f>
        <v>0000817</v>
      </c>
      <c r="G491">
        <v>1</v>
      </c>
      <c r="H491" t="str">
        <f>"00000000"</f>
        <v>00000000</v>
      </c>
      <c r="I491" t="s">
        <v>35</v>
      </c>
      <c r="J491"/>
      <c r="K491">
        <v>17.58</v>
      </c>
      <c r="L491">
        <v>0.0</v>
      </c>
      <c r="M491"/>
      <c r="N491"/>
      <c r="O491">
        <v>3.17</v>
      </c>
      <c r="P491">
        <v>0.2</v>
      </c>
      <c r="Q491">
        <v>20.95</v>
      </c>
      <c r="R491"/>
      <c r="S491"/>
      <c r="T491"/>
      <c r="U491"/>
      <c r="V491"/>
      <c r="W491">
        <v>18</v>
      </c>
    </row>
    <row r="492" spans="1:23">
      <c r="A492"/>
      <c r="B492" t="s">
        <v>46</v>
      </c>
      <c r="C492" t="s">
        <v>46</v>
      </c>
      <c r="D492" t="s">
        <v>33</v>
      </c>
      <c r="E492" t="s">
        <v>34</v>
      </c>
      <c r="F492" t="str">
        <f>"0000818"</f>
        <v>0000818</v>
      </c>
      <c r="G492">
        <v>1</v>
      </c>
      <c r="H492" t="str">
        <f>"00000000"</f>
        <v>00000000</v>
      </c>
      <c r="I492" t="s">
        <v>35</v>
      </c>
      <c r="J492"/>
      <c r="K492">
        <v>76.75</v>
      </c>
      <c r="L492">
        <v>0.0</v>
      </c>
      <c r="M492"/>
      <c r="N492"/>
      <c r="O492">
        <v>13.81</v>
      </c>
      <c r="P492">
        <v>0.4</v>
      </c>
      <c r="Q492">
        <v>90.96</v>
      </c>
      <c r="R492"/>
      <c r="S492"/>
      <c r="T492"/>
      <c r="U492"/>
      <c r="V492"/>
      <c r="W492">
        <v>18</v>
      </c>
    </row>
    <row r="493" spans="1:23">
      <c r="A493"/>
      <c r="B493" t="s">
        <v>46</v>
      </c>
      <c r="C493" t="s">
        <v>46</v>
      </c>
      <c r="D493" t="s">
        <v>33</v>
      </c>
      <c r="E493" t="s">
        <v>34</v>
      </c>
      <c r="F493" t="str">
        <f>"0000819"</f>
        <v>0000819</v>
      </c>
      <c r="G493">
        <v>1</v>
      </c>
      <c r="H493" t="str">
        <f>"00000000"</f>
        <v>00000000</v>
      </c>
      <c r="I493" t="s">
        <v>35</v>
      </c>
      <c r="J493"/>
      <c r="K493">
        <v>1.86</v>
      </c>
      <c r="L493">
        <v>0.0</v>
      </c>
      <c r="M493"/>
      <c r="N493"/>
      <c r="O493">
        <v>0.34</v>
      </c>
      <c r="P493">
        <v>0.0</v>
      </c>
      <c r="Q493">
        <v>2.2</v>
      </c>
      <c r="R493"/>
      <c r="S493"/>
      <c r="T493"/>
      <c r="U493"/>
      <c r="V493"/>
      <c r="W493">
        <v>18</v>
      </c>
    </row>
    <row r="494" spans="1:23">
      <c r="A494"/>
      <c r="B494" t="s">
        <v>46</v>
      </c>
      <c r="C494" t="s">
        <v>46</v>
      </c>
      <c r="D494" t="s">
        <v>33</v>
      </c>
      <c r="E494" t="s">
        <v>34</v>
      </c>
      <c r="F494" t="str">
        <f>"0000820"</f>
        <v>0000820</v>
      </c>
      <c r="G494">
        <v>1</v>
      </c>
      <c r="H494" t="str">
        <f>"00000000"</f>
        <v>00000000</v>
      </c>
      <c r="I494" t="s">
        <v>35</v>
      </c>
      <c r="J494"/>
      <c r="K494">
        <v>6.53</v>
      </c>
      <c r="L494">
        <v>0.0</v>
      </c>
      <c r="M494"/>
      <c r="N494"/>
      <c r="O494">
        <v>1.17</v>
      </c>
      <c r="P494">
        <v>0.0</v>
      </c>
      <c r="Q494">
        <v>7.7</v>
      </c>
      <c r="R494"/>
      <c r="S494"/>
      <c r="T494"/>
      <c r="U494"/>
      <c r="V494"/>
      <c r="W494">
        <v>18</v>
      </c>
    </row>
    <row r="495" spans="1:23">
      <c r="A495"/>
      <c r="B495" t="s">
        <v>46</v>
      </c>
      <c r="C495" t="s">
        <v>46</v>
      </c>
      <c r="D495" t="s">
        <v>33</v>
      </c>
      <c r="E495" t="s">
        <v>34</v>
      </c>
      <c r="F495" t="str">
        <f>"0000821"</f>
        <v>0000821</v>
      </c>
      <c r="G495">
        <v>1</v>
      </c>
      <c r="H495" t="str">
        <f>"00000000"</f>
        <v>00000000</v>
      </c>
      <c r="I495" t="s">
        <v>35</v>
      </c>
      <c r="J495"/>
      <c r="K495">
        <v>1.02</v>
      </c>
      <c r="L495">
        <v>0.0</v>
      </c>
      <c r="M495"/>
      <c r="N495"/>
      <c r="O495">
        <v>0.18</v>
      </c>
      <c r="P495">
        <v>0.0</v>
      </c>
      <c r="Q495">
        <v>1.2</v>
      </c>
      <c r="R495"/>
      <c r="S495"/>
      <c r="T495"/>
      <c r="U495"/>
      <c r="V495"/>
      <c r="W495">
        <v>18</v>
      </c>
    </row>
    <row r="496" spans="1:23">
      <c r="A496"/>
      <c r="B496" t="s">
        <v>46</v>
      </c>
      <c r="C496" t="s">
        <v>46</v>
      </c>
      <c r="D496" t="s">
        <v>33</v>
      </c>
      <c r="E496" t="s">
        <v>34</v>
      </c>
      <c r="F496" t="str">
        <f>"0000822"</f>
        <v>0000822</v>
      </c>
      <c r="G496">
        <v>1</v>
      </c>
      <c r="H496" t="str">
        <f>"00000000"</f>
        <v>00000000</v>
      </c>
      <c r="I496" t="s">
        <v>35</v>
      </c>
      <c r="J496"/>
      <c r="K496">
        <v>2.63</v>
      </c>
      <c r="L496">
        <v>0.0</v>
      </c>
      <c r="M496"/>
      <c r="N496"/>
      <c r="O496">
        <v>0.47</v>
      </c>
      <c r="P496">
        <v>0.0</v>
      </c>
      <c r="Q496">
        <v>3.1</v>
      </c>
      <c r="R496"/>
      <c r="S496"/>
      <c r="T496"/>
      <c r="U496"/>
      <c r="V496"/>
      <c r="W496">
        <v>18</v>
      </c>
    </row>
    <row r="497" spans="1:23">
      <c r="A497"/>
      <c r="B497" t="s">
        <v>46</v>
      </c>
      <c r="C497" t="s">
        <v>46</v>
      </c>
      <c r="D497" t="s">
        <v>33</v>
      </c>
      <c r="E497" t="s">
        <v>34</v>
      </c>
      <c r="F497" t="str">
        <f>"0000823"</f>
        <v>0000823</v>
      </c>
      <c r="G497">
        <v>1</v>
      </c>
      <c r="H497" t="str">
        <f>"00000000"</f>
        <v>00000000</v>
      </c>
      <c r="I497" t="s">
        <v>35</v>
      </c>
      <c r="J497"/>
      <c r="K497">
        <v>4.58</v>
      </c>
      <c r="L497">
        <v>0.0</v>
      </c>
      <c r="M497"/>
      <c r="N497"/>
      <c r="O497">
        <v>0.82</v>
      </c>
      <c r="P497">
        <v>0.0</v>
      </c>
      <c r="Q497">
        <v>5.4</v>
      </c>
      <c r="R497"/>
      <c r="S497"/>
      <c r="T497"/>
      <c r="U497"/>
      <c r="V497"/>
      <c r="W497">
        <v>18</v>
      </c>
    </row>
    <row r="498" spans="1:23">
      <c r="A498"/>
      <c r="B498" t="s">
        <v>46</v>
      </c>
      <c r="C498" t="s">
        <v>46</v>
      </c>
      <c r="D498" t="s">
        <v>33</v>
      </c>
      <c r="E498" t="s">
        <v>34</v>
      </c>
      <c r="F498" t="str">
        <f>"0000824"</f>
        <v>0000824</v>
      </c>
      <c r="G498">
        <v>1</v>
      </c>
      <c r="H498" t="str">
        <f>"00000000"</f>
        <v>00000000</v>
      </c>
      <c r="I498" t="s">
        <v>35</v>
      </c>
      <c r="J498"/>
      <c r="K498">
        <v>37.12</v>
      </c>
      <c r="L498">
        <v>0.0</v>
      </c>
      <c r="M498"/>
      <c r="N498"/>
      <c r="O498">
        <v>6.68</v>
      </c>
      <c r="P498">
        <v>0.2</v>
      </c>
      <c r="Q498">
        <v>44.0</v>
      </c>
      <c r="R498"/>
      <c r="S498"/>
      <c r="T498"/>
      <c r="U498"/>
      <c r="V498"/>
      <c r="W498">
        <v>18</v>
      </c>
    </row>
    <row r="499" spans="1:23">
      <c r="A499"/>
      <c r="B499" t="s">
        <v>46</v>
      </c>
      <c r="C499" t="s">
        <v>46</v>
      </c>
      <c r="D499" t="s">
        <v>33</v>
      </c>
      <c r="E499" t="s">
        <v>34</v>
      </c>
      <c r="F499" t="str">
        <f>"0000825"</f>
        <v>0000825</v>
      </c>
      <c r="G499">
        <v>1</v>
      </c>
      <c r="H499" t="str">
        <f>"00000000"</f>
        <v>00000000</v>
      </c>
      <c r="I499" t="s">
        <v>35</v>
      </c>
      <c r="J499"/>
      <c r="K499">
        <v>41.78</v>
      </c>
      <c r="L499">
        <v>0.0</v>
      </c>
      <c r="M499"/>
      <c r="N499"/>
      <c r="O499">
        <v>7.52</v>
      </c>
      <c r="P499">
        <v>0.2</v>
      </c>
      <c r="Q499">
        <v>49.5</v>
      </c>
      <c r="R499"/>
      <c r="S499"/>
      <c r="T499"/>
      <c r="U499"/>
      <c r="V499"/>
      <c r="W499">
        <v>18</v>
      </c>
    </row>
    <row r="500" spans="1:23">
      <c r="A500"/>
      <c r="B500" t="s">
        <v>46</v>
      </c>
      <c r="C500" t="s">
        <v>46</v>
      </c>
      <c r="D500" t="s">
        <v>33</v>
      </c>
      <c r="E500" t="s">
        <v>34</v>
      </c>
      <c r="F500" t="str">
        <f>"0000826"</f>
        <v>0000826</v>
      </c>
      <c r="G500">
        <v>1</v>
      </c>
      <c r="H500" t="str">
        <f>"00000000"</f>
        <v>00000000</v>
      </c>
      <c r="I500" t="s">
        <v>35</v>
      </c>
      <c r="J500"/>
      <c r="K500">
        <v>2.97</v>
      </c>
      <c r="L500">
        <v>0.0</v>
      </c>
      <c r="M500"/>
      <c r="N500"/>
      <c r="O500">
        <v>0.53</v>
      </c>
      <c r="P500">
        <v>0.0</v>
      </c>
      <c r="Q500">
        <v>3.5</v>
      </c>
      <c r="R500"/>
      <c r="S500"/>
      <c r="T500"/>
      <c r="U500"/>
      <c r="V500"/>
      <c r="W500">
        <v>18</v>
      </c>
    </row>
    <row r="501" spans="1:23">
      <c r="A501"/>
      <c r="B501" t="s">
        <v>46</v>
      </c>
      <c r="C501" t="s">
        <v>46</v>
      </c>
      <c r="D501" t="s">
        <v>33</v>
      </c>
      <c r="E501" t="s">
        <v>34</v>
      </c>
      <c r="F501" t="str">
        <f>"0000827"</f>
        <v>0000827</v>
      </c>
      <c r="G501">
        <v>1</v>
      </c>
      <c r="H501" t="str">
        <f>"00000000"</f>
        <v>00000000</v>
      </c>
      <c r="I501" t="s">
        <v>35</v>
      </c>
      <c r="J501"/>
      <c r="K501">
        <v>16.84</v>
      </c>
      <c r="L501">
        <v>0.0</v>
      </c>
      <c r="M501"/>
      <c r="N501"/>
      <c r="O501">
        <v>3.03</v>
      </c>
      <c r="P501">
        <v>0.0</v>
      </c>
      <c r="Q501">
        <v>19.88</v>
      </c>
      <c r="R501"/>
      <c r="S501"/>
      <c r="T501"/>
      <c r="U501"/>
      <c r="V501"/>
      <c r="W501">
        <v>18</v>
      </c>
    </row>
    <row r="502" spans="1:23">
      <c r="A502"/>
      <c r="B502" t="s">
        <v>46</v>
      </c>
      <c r="C502" t="s">
        <v>46</v>
      </c>
      <c r="D502" t="s">
        <v>33</v>
      </c>
      <c r="E502" t="s">
        <v>34</v>
      </c>
      <c r="F502" t="str">
        <f>"0000828"</f>
        <v>0000828</v>
      </c>
      <c r="G502">
        <v>1</v>
      </c>
      <c r="H502" t="str">
        <f>"00000000"</f>
        <v>00000000</v>
      </c>
      <c r="I502" t="s">
        <v>35</v>
      </c>
      <c r="J502"/>
      <c r="K502">
        <v>49.19</v>
      </c>
      <c r="L502">
        <v>0.0</v>
      </c>
      <c r="M502"/>
      <c r="N502"/>
      <c r="O502">
        <v>8.85</v>
      </c>
      <c r="P502">
        <v>0.0</v>
      </c>
      <c r="Q502">
        <v>58.05</v>
      </c>
      <c r="R502"/>
      <c r="S502"/>
      <c r="T502"/>
      <c r="U502"/>
      <c r="V502"/>
      <c r="W502">
        <v>18</v>
      </c>
    </row>
    <row r="503" spans="1:23">
      <c r="A503"/>
      <c r="B503" t="s">
        <v>46</v>
      </c>
      <c r="C503" t="s">
        <v>46</v>
      </c>
      <c r="D503" t="s">
        <v>33</v>
      </c>
      <c r="E503" t="s">
        <v>34</v>
      </c>
      <c r="F503" t="str">
        <f>"0000829"</f>
        <v>0000829</v>
      </c>
      <c r="G503">
        <v>1</v>
      </c>
      <c r="H503" t="str">
        <f>"00000000"</f>
        <v>00000000</v>
      </c>
      <c r="I503" t="s">
        <v>35</v>
      </c>
      <c r="J503"/>
      <c r="K503">
        <v>15.34</v>
      </c>
      <c r="L503">
        <v>0.0</v>
      </c>
      <c r="M503"/>
      <c r="N503"/>
      <c r="O503">
        <v>2.76</v>
      </c>
      <c r="P503">
        <v>0.0</v>
      </c>
      <c r="Q503">
        <v>18.11</v>
      </c>
      <c r="R503"/>
      <c r="S503"/>
      <c r="T503"/>
      <c r="U503"/>
      <c r="V503"/>
      <c r="W503">
        <v>18</v>
      </c>
    </row>
    <row r="504" spans="1:23">
      <c r="A504"/>
      <c r="B504" t="s">
        <v>46</v>
      </c>
      <c r="C504" t="s">
        <v>46</v>
      </c>
      <c r="D504" t="s">
        <v>33</v>
      </c>
      <c r="E504" t="s">
        <v>34</v>
      </c>
      <c r="F504" t="str">
        <f>"0000830"</f>
        <v>0000830</v>
      </c>
      <c r="G504">
        <v>1</v>
      </c>
      <c r="H504" t="str">
        <f>"00000000"</f>
        <v>00000000</v>
      </c>
      <c r="I504" t="s">
        <v>35</v>
      </c>
      <c r="J504"/>
      <c r="K504">
        <v>23.94</v>
      </c>
      <c r="L504">
        <v>0.0</v>
      </c>
      <c r="M504"/>
      <c r="N504"/>
      <c r="O504">
        <v>4.31</v>
      </c>
      <c r="P504">
        <v>0.0</v>
      </c>
      <c r="Q504">
        <v>28.25</v>
      </c>
      <c r="R504"/>
      <c r="S504"/>
      <c r="T504"/>
      <c r="U504"/>
      <c r="V504"/>
      <c r="W504">
        <v>18</v>
      </c>
    </row>
    <row r="505" spans="1:23">
      <c r="A505"/>
      <c r="B505" t="s">
        <v>46</v>
      </c>
      <c r="C505" t="s">
        <v>46</v>
      </c>
      <c r="D505" t="s">
        <v>33</v>
      </c>
      <c r="E505" t="s">
        <v>34</v>
      </c>
      <c r="F505" t="str">
        <f>"0000831"</f>
        <v>0000831</v>
      </c>
      <c r="G505">
        <v>1</v>
      </c>
      <c r="H505" t="str">
        <f>"00000000"</f>
        <v>00000000</v>
      </c>
      <c r="I505" t="s">
        <v>35</v>
      </c>
      <c r="J505"/>
      <c r="K505">
        <v>9.16</v>
      </c>
      <c r="L505">
        <v>0.0</v>
      </c>
      <c r="M505"/>
      <c r="N505"/>
      <c r="O505">
        <v>1.65</v>
      </c>
      <c r="P505">
        <v>0.2</v>
      </c>
      <c r="Q505">
        <v>11.01</v>
      </c>
      <c r="R505"/>
      <c r="S505"/>
      <c r="T505"/>
      <c r="U505"/>
      <c r="V505"/>
      <c r="W505">
        <v>18</v>
      </c>
    </row>
    <row r="506" spans="1:23">
      <c r="A506"/>
      <c r="B506" t="s">
        <v>46</v>
      </c>
      <c r="C506" t="s">
        <v>46</v>
      </c>
      <c r="D506" t="s">
        <v>33</v>
      </c>
      <c r="E506" t="s">
        <v>34</v>
      </c>
      <c r="F506" t="str">
        <f>"0000832"</f>
        <v>0000832</v>
      </c>
      <c r="G506">
        <v>1</v>
      </c>
      <c r="H506" t="str">
        <f>"00000000"</f>
        <v>00000000</v>
      </c>
      <c r="I506" t="s">
        <v>35</v>
      </c>
      <c r="J506"/>
      <c r="K506">
        <v>6.86</v>
      </c>
      <c r="L506">
        <v>0.0</v>
      </c>
      <c r="M506"/>
      <c r="N506"/>
      <c r="O506">
        <v>1.24</v>
      </c>
      <c r="P506">
        <v>0.0</v>
      </c>
      <c r="Q506">
        <v>8.1</v>
      </c>
      <c r="R506"/>
      <c r="S506"/>
      <c r="T506"/>
      <c r="U506"/>
      <c r="V506"/>
      <c r="W506">
        <v>18</v>
      </c>
    </row>
    <row r="507" spans="1:23">
      <c r="A507"/>
      <c r="B507" t="s">
        <v>46</v>
      </c>
      <c r="C507" t="s">
        <v>46</v>
      </c>
      <c r="D507" t="s">
        <v>33</v>
      </c>
      <c r="E507" t="s">
        <v>34</v>
      </c>
      <c r="F507" t="str">
        <f>"0000833"</f>
        <v>0000833</v>
      </c>
      <c r="G507">
        <v>1</v>
      </c>
      <c r="H507" t="str">
        <f>"00000000"</f>
        <v>00000000</v>
      </c>
      <c r="I507" t="s">
        <v>35</v>
      </c>
      <c r="J507"/>
      <c r="K507">
        <v>5.51</v>
      </c>
      <c r="L507">
        <v>0.0</v>
      </c>
      <c r="M507"/>
      <c r="N507"/>
      <c r="O507">
        <v>0.99</v>
      </c>
      <c r="P507">
        <v>0.0</v>
      </c>
      <c r="Q507">
        <v>6.5</v>
      </c>
      <c r="R507"/>
      <c r="S507"/>
      <c r="T507"/>
      <c r="U507"/>
      <c r="V507"/>
      <c r="W507">
        <v>18</v>
      </c>
    </row>
    <row r="508" spans="1:23">
      <c r="A508"/>
      <c r="B508" t="s">
        <v>46</v>
      </c>
      <c r="C508" t="s">
        <v>46</v>
      </c>
      <c r="D508" t="s">
        <v>33</v>
      </c>
      <c r="E508" t="s">
        <v>34</v>
      </c>
      <c r="F508" t="str">
        <f>"0000834"</f>
        <v>0000834</v>
      </c>
      <c r="G508">
        <v>1</v>
      </c>
      <c r="H508" t="str">
        <f>"00000000"</f>
        <v>00000000</v>
      </c>
      <c r="I508" t="s">
        <v>35</v>
      </c>
      <c r="J508"/>
      <c r="K508">
        <v>45.51</v>
      </c>
      <c r="L508">
        <v>0.0</v>
      </c>
      <c r="M508"/>
      <c r="N508"/>
      <c r="O508">
        <v>8.19</v>
      </c>
      <c r="P508">
        <v>0.2</v>
      </c>
      <c r="Q508">
        <v>53.9</v>
      </c>
      <c r="R508"/>
      <c r="S508"/>
      <c r="T508"/>
      <c r="U508"/>
      <c r="V508"/>
      <c r="W508">
        <v>18</v>
      </c>
    </row>
    <row r="509" spans="1:23">
      <c r="A509"/>
      <c r="B509" t="s">
        <v>46</v>
      </c>
      <c r="C509" t="s">
        <v>46</v>
      </c>
      <c r="D509" t="s">
        <v>33</v>
      </c>
      <c r="E509" t="s">
        <v>34</v>
      </c>
      <c r="F509" t="str">
        <f>"0000835"</f>
        <v>0000835</v>
      </c>
      <c r="G509">
        <v>1</v>
      </c>
      <c r="H509" t="str">
        <f>"00000000"</f>
        <v>00000000</v>
      </c>
      <c r="I509" t="s">
        <v>35</v>
      </c>
      <c r="J509"/>
      <c r="K509">
        <v>8.38</v>
      </c>
      <c r="L509">
        <v>0.0</v>
      </c>
      <c r="M509"/>
      <c r="N509"/>
      <c r="O509">
        <v>1.51</v>
      </c>
      <c r="P509">
        <v>0.0</v>
      </c>
      <c r="Q509">
        <v>9.89</v>
      </c>
      <c r="R509"/>
      <c r="S509"/>
      <c r="T509"/>
      <c r="U509"/>
      <c r="V509"/>
      <c r="W509">
        <v>18</v>
      </c>
    </row>
    <row r="510" spans="1:23">
      <c r="A510"/>
      <c r="B510" t="s">
        <v>46</v>
      </c>
      <c r="C510" t="s">
        <v>46</v>
      </c>
      <c r="D510" t="s">
        <v>33</v>
      </c>
      <c r="E510" t="s">
        <v>34</v>
      </c>
      <c r="F510" t="str">
        <f>"0000836"</f>
        <v>0000836</v>
      </c>
      <c r="G510">
        <v>1</v>
      </c>
      <c r="H510" t="str">
        <f>"00000000"</f>
        <v>00000000</v>
      </c>
      <c r="I510" t="s">
        <v>35</v>
      </c>
      <c r="J510"/>
      <c r="K510">
        <v>11.65</v>
      </c>
      <c r="L510">
        <v>0.0</v>
      </c>
      <c r="M510"/>
      <c r="N510"/>
      <c r="O510">
        <v>2.1</v>
      </c>
      <c r="P510">
        <v>0.2</v>
      </c>
      <c r="Q510">
        <v>13.95</v>
      </c>
      <c r="R510"/>
      <c r="S510"/>
      <c r="T510"/>
      <c r="U510"/>
      <c r="V510"/>
      <c r="W510">
        <v>18</v>
      </c>
    </row>
    <row r="511" spans="1:23">
      <c r="A511"/>
      <c r="B511" t="s">
        <v>46</v>
      </c>
      <c r="C511" t="s">
        <v>46</v>
      </c>
      <c r="D511" t="s">
        <v>33</v>
      </c>
      <c r="E511" t="s">
        <v>34</v>
      </c>
      <c r="F511" t="str">
        <f>"0000837"</f>
        <v>0000837</v>
      </c>
      <c r="G511">
        <v>1</v>
      </c>
      <c r="H511" t="str">
        <f>"00000000"</f>
        <v>00000000</v>
      </c>
      <c r="I511" t="s">
        <v>35</v>
      </c>
      <c r="J511"/>
      <c r="K511">
        <v>36.19</v>
      </c>
      <c r="L511">
        <v>0.0</v>
      </c>
      <c r="M511"/>
      <c r="N511"/>
      <c r="O511">
        <v>6.51</v>
      </c>
      <c r="P511">
        <v>0.2</v>
      </c>
      <c r="Q511">
        <v>42.9</v>
      </c>
      <c r="R511"/>
      <c r="S511"/>
      <c r="T511"/>
      <c r="U511"/>
      <c r="V511"/>
      <c r="W511">
        <v>18</v>
      </c>
    </row>
    <row r="512" spans="1:23">
      <c r="A512"/>
      <c r="B512" t="s">
        <v>46</v>
      </c>
      <c r="C512" t="s">
        <v>46</v>
      </c>
      <c r="D512" t="s">
        <v>33</v>
      </c>
      <c r="E512" t="s">
        <v>34</v>
      </c>
      <c r="F512" t="str">
        <f>"0000838"</f>
        <v>0000838</v>
      </c>
      <c r="G512">
        <v>1</v>
      </c>
      <c r="H512" t="str">
        <f>"00000000"</f>
        <v>00000000</v>
      </c>
      <c r="I512" t="s">
        <v>35</v>
      </c>
      <c r="J512"/>
      <c r="K512">
        <v>33.88</v>
      </c>
      <c r="L512">
        <v>0.0</v>
      </c>
      <c r="M512"/>
      <c r="N512"/>
      <c r="O512">
        <v>6.1</v>
      </c>
      <c r="P512">
        <v>0.0</v>
      </c>
      <c r="Q512">
        <v>39.98</v>
      </c>
      <c r="R512"/>
      <c r="S512"/>
      <c r="T512"/>
      <c r="U512"/>
      <c r="V512"/>
      <c r="W512">
        <v>18</v>
      </c>
    </row>
    <row r="513" spans="1:23">
      <c r="A513"/>
      <c r="B513" t="s">
        <v>46</v>
      </c>
      <c r="C513" t="s">
        <v>46</v>
      </c>
      <c r="D513" t="s">
        <v>33</v>
      </c>
      <c r="E513" t="s">
        <v>34</v>
      </c>
      <c r="F513" t="str">
        <f>"0000839"</f>
        <v>0000839</v>
      </c>
      <c r="G513">
        <v>1</v>
      </c>
      <c r="H513" t="str">
        <f>"00000000"</f>
        <v>00000000</v>
      </c>
      <c r="I513" t="s">
        <v>35</v>
      </c>
      <c r="J513"/>
      <c r="K513">
        <v>47.05</v>
      </c>
      <c r="L513">
        <v>0.0</v>
      </c>
      <c r="M513"/>
      <c r="N513"/>
      <c r="O513">
        <v>8.47</v>
      </c>
      <c r="P513">
        <v>0.0</v>
      </c>
      <c r="Q513">
        <v>55.51</v>
      </c>
      <c r="R513"/>
      <c r="S513"/>
      <c r="T513"/>
      <c r="U513"/>
      <c r="V513"/>
      <c r="W513">
        <v>18</v>
      </c>
    </row>
    <row r="514" spans="1:23">
      <c r="A514"/>
      <c r="B514" t="s">
        <v>46</v>
      </c>
      <c r="C514" t="s">
        <v>46</v>
      </c>
      <c r="D514" t="s">
        <v>33</v>
      </c>
      <c r="E514" t="s">
        <v>34</v>
      </c>
      <c r="F514" t="str">
        <f>"0000840"</f>
        <v>0000840</v>
      </c>
      <c r="G514">
        <v>1</v>
      </c>
      <c r="H514" t="str">
        <f>"00000000"</f>
        <v>00000000</v>
      </c>
      <c r="I514" t="s">
        <v>35</v>
      </c>
      <c r="J514"/>
      <c r="K514">
        <v>29.75</v>
      </c>
      <c r="L514">
        <v>0.0</v>
      </c>
      <c r="M514"/>
      <c r="N514"/>
      <c r="O514">
        <v>5.35</v>
      </c>
      <c r="P514">
        <v>0.2</v>
      </c>
      <c r="Q514">
        <v>35.3</v>
      </c>
      <c r="R514"/>
      <c r="S514"/>
      <c r="T514"/>
      <c r="U514"/>
      <c r="V514"/>
      <c r="W514">
        <v>18</v>
      </c>
    </row>
    <row r="515" spans="1:23">
      <c r="A515"/>
      <c r="B515" t="s">
        <v>46</v>
      </c>
      <c r="C515" t="s">
        <v>46</v>
      </c>
      <c r="D515" t="s">
        <v>33</v>
      </c>
      <c r="E515" t="s">
        <v>34</v>
      </c>
      <c r="F515" t="str">
        <f>"0000841"</f>
        <v>0000841</v>
      </c>
      <c r="G515">
        <v>1</v>
      </c>
      <c r="H515" t="str">
        <f>"00000000"</f>
        <v>00000000</v>
      </c>
      <c r="I515" t="s">
        <v>35</v>
      </c>
      <c r="J515"/>
      <c r="K515">
        <v>14.6</v>
      </c>
      <c r="L515">
        <v>0.0</v>
      </c>
      <c r="M515"/>
      <c r="N515"/>
      <c r="O515">
        <v>2.63</v>
      </c>
      <c r="P515">
        <v>0.2</v>
      </c>
      <c r="Q515">
        <v>17.43</v>
      </c>
      <c r="R515"/>
      <c r="S515"/>
      <c r="T515"/>
      <c r="U515"/>
      <c r="V515"/>
      <c r="W515">
        <v>18</v>
      </c>
    </row>
    <row r="516" spans="1:23">
      <c r="A516"/>
      <c r="B516" t="s">
        <v>46</v>
      </c>
      <c r="C516" t="s">
        <v>46</v>
      </c>
      <c r="D516" t="s">
        <v>33</v>
      </c>
      <c r="E516" t="s">
        <v>34</v>
      </c>
      <c r="F516" t="str">
        <f>"0000842"</f>
        <v>0000842</v>
      </c>
      <c r="G516">
        <v>1</v>
      </c>
      <c r="H516" t="str">
        <f>"00000000"</f>
        <v>00000000</v>
      </c>
      <c r="I516" t="s">
        <v>35</v>
      </c>
      <c r="J516"/>
      <c r="K516">
        <v>14.53</v>
      </c>
      <c r="L516">
        <v>0.0</v>
      </c>
      <c r="M516"/>
      <c r="N516"/>
      <c r="O516">
        <v>2.62</v>
      </c>
      <c r="P516">
        <v>0.2</v>
      </c>
      <c r="Q516">
        <v>17.34</v>
      </c>
      <c r="R516"/>
      <c r="S516"/>
      <c r="T516"/>
      <c r="U516"/>
      <c r="V516"/>
      <c r="W516">
        <v>18</v>
      </c>
    </row>
    <row r="517" spans="1:23">
      <c r="A517"/>
      <c r="B517" t="s">
        <v>46</v>
      </c>
      <c r="C517" t="s">
        <v>46</v>
      </c>
      <c r="D517" t="s">
        <v>33</v>
      </c>
      <c r="E517" t="s">
        <v>34</v>
      </c>
      <c r="F517" t="str">
        <f>"0000843"</f>
        <v>0000843</v>
      </c>
      <c r="G517">
        <v>1</v>
      </c>
      <c r="H517" t="str">
        <f>"00000000"</f>
        <v>00000000</v>
      </c>
      <c r="I517" t="s">
        <v>35</v>
      </c>
      <c r="J517"/>
      <c r="K517">
        <v>3.83</v>
      </c>
      <c r="L517">
        <v>0.0</v>
      </c>
      <c r="M517"/>
      <c r="N517"/>
      <c r="O517">
        <v>0.69</v>
      </c>
      <c r="P517">
        <v>0.0</v>
      </c>
      <c r="Q517">
        <v>4.52</v>
      </c>
      <c r="R517"/>
      <c r="S517"/>
      <c r="T517"/>
      <c r="U517"/>
      <c r="V517"/>
      <c r="W517">
        <v>18</v>
      </c>
    </row>
    <row r="518" spans="1:23">
      <c r="A518"/>
      <c r="B518" t="s">
        <v>48</v>
      </c>
      <c r="C518" t="s">
        <v>48</v>
      </c>
      <c r="D518" t="s">
        <v>33</v>
      </c>
      <c r="E518" t="s">
        <v>34</v>
      </c>
      <c r="F518" t="str">
        <f>"0000844"</f>
        <v>0000844</v>
      </c>
      <c r="G518">
        <v>1</v>
      </c>
      <c r="H518" t="str">
        <f>"00000000"</f>
        <v>00000000</v>
      </c>
      <c r="I518" t="s">
        <v>35</v>
      </c>
      <c r="J518"/>
      <c r="K518">
        <v>2.91</v>
      </c>
      <c r="L518">
        <v>0.0</v>
      </c>
      <c r="M518"/>
      <c r="N518"/>
      <c r="O518">
        <v>0.52</v>
      </c>
      <c r="P518">
        <v>0.0</v>
      </c>
      <c r="Q518">
        <v>3.44</v>
      </c>
      <c r="R518"/>
      <c r="S518"/>
      <c r="T518"/>
      <c r="U518"/>
      <c r="V518"/>
      <c r="W518">
        <v>18</v>
      </c>
    </row>
    <row r="519" spans="1:23">
      <c r="A519"/>
      <c r="B519" t="s">
        <v>48</v>
      </c>
      <c r="C519" t="s">
        <v>48</v>
      </c>
      <c r="D519" t="s">
        <v>33</v>
      </c>
      <c r="E519" t="s">
        <v>34</v>
      </c>
      <c r="F519" t="str">
        <f>"0000845"</f>
        <v>0000845</v>
      </c>
      <c r="G519">
        <v>1</v>
      </c>
      <c r="H519" t="str">
        <f>"00000000"</f>
        <v>00000000</v>
      </c>
      <c r="I519" t="s">
        <v>35</v>
      </c>
      <c r="J519"/>
      <c r="K519">
        <v>6.68</v>
      </c>
      <c r="L519">
        <v>0.0</v>
      </c>
      <c r="M519"/>
      <c r="N519"/>
      <c r="O519">
        <v>1.2</v>
      </c>
      <c r="P519">
        <v>0.0</v>
      </c>
      <c r="Q519">
        <v>7.88</v>
      </c>
      <c r="R519"/>
      <c r="S519"/>
      <c r="T519"/>
      <c r="U519"/>
      <c r="V519"/>
      <c r="W519">
        <v>18</v>
      </c>
    </row>
    <row r="520" spans="1:23">
      <c r="A520"/>
      <c r="B520" t="s">
        <v>48</v>
      </c>
      <c r="C520" t="s">
        <v>48</v>
      </c>
      <c r="D520" t="s">
        <v>33</v>
      </c>
      <c r="E520" t="s">
        <v>34</v>
      </c>
      <c r="F520" t="str">
        <f>"0000846"</f>
        <v>0000846</v>
      </c>
      <c r="G520">
        <v>1</v>
      </c>
      <c r="H520" t="str">
        <f>"00000000"</f>
        <v>00000000</v>
      </c>
      <c r="I520" t="s">
        <v>35</v>
      </c>
      <c r="J520"/>
      <c r="K520">
        <v>134.02</v>
      </c>
      <c r="L520">
        <v>0.0</v>
      </c>
      <c r="M520"/>
      <c r="N520"/>
      <c r="O520">
        <v>24.12</v>
      </c>
      <c r="P520">
        <v>0.0</v>
      </c>
      <c r="Q520">
        <v>158.15</v>
      </c>
      <c r="R520"/>
      <c r="S520"/>
      <c r="T520"/>
      <c r="U520"/>
      <c r="V520"/>
      <c r="W520">
        <v>18</v>
      </c>
    </row>
    <row r="521" spans="1:23">
      <c r="A521"/>
      <c r="B521" t="s">
        <v>48</v>
      </c>
      <c r="C521" t="s">
        <v>48</v>
      </c>
      <c r="D521" t="s">
        <v>33</v>
      </c>
      <c r="E521" t="s">
        <v>34</v>
      </c>
      <c r="F521" t="str">
        <f>"0000847"</f>
        <v>0000847</v>
      </c>
      <c r="G521">
        <v>1</v>
      </c>
      <c r="H521" t="str">
        <f>"00000000"</f>
        <v>00000000</v>
      </c>
      <c r="I521" t="s">
        <v>35</v>
      </c>
      <c r="J521"/>
      <c r="K521">
        <v>22.56</v>
      </c>
      <c r="L521">
        <v>0.0</v>
      </c>
      <c r="M521"/>
      <c r="N521"/>
      <c r="O521">
        <v>4.06</v>
      </c>
      <c r="P521">
        <v>0.2</v>
      </c>
      <c r="Q521">
        <v>26.82</v>
      </c>
      <c r="R521"/>
      <c r="S521"/>
      <c r="T521"/>
      <c r="U521"/>
      <c r="V521"/>
      <c r="W521">
        <v>18</v>
      </c>
    </row>
    <row r="522" spans="1:23">
      <c r="A522"/>
      <c r="B522" t="s">
        <v>48</v>
      </c>
      <c r="C522" t="s">
        <v>48</v>
      </c>
      <c r="D522" t="s">
        <v>33</v>
      </c>
      <c r="E522" t="s">
        <v>34</v>
      </c>
      <c r="F522" t="str">
        <f>"0000848"</f>
        <v>0000848</v>
      </c>
      <c r="G522">
        <v>1</v>
      </c>
      <c r="H522" t="str">
        <f>"00000000"</f>
        <v>00000000</v>
      </c>
      <c r="I522" t="s">
        <v>35</v>
      </c>
      <c r="J522"/>
      <c r="K522">
        <v>20.26</v>
      </c>
      <c r="L522">
        <v>0.0</v>
      </c>
      <c r="M522"/>
      <c r="N522"/>
      <c r="O522">
        <v>3.65</v>
      </c>
      <c r="P522">
        <v>0.2</v>
      </c>
      <c r="Q522">
        <v>24.11</v>
      </c>
      <c r="R522"/>
      <c r="S522"/>
      <c r="T522"/>
      <c r="U522"/>
      <c r="V522"/>
      <c r="W522">
        <v>18</v>
      </c>
    </row>
    <row r="523" spans="1:23">
      <c r="A523"/>
      <c r="B523" t="s">
        <v>48</v>
      </c>
      <c r="C523" t="s">
        <v>48</v>
      </c>
      <c r="D523" t="s">
        <v>33</v>
      </c>
      <c r="E523" t="s">
        <v>34</v>
      </c>
      <c r="F523" t="str">
        <f>"0000849"</f>
        <v>0000849</v>
      </c>
      <c r="G523">
        <v>1</v>
      </c>
      <c r="H523" t="str">
        <f>"00000000"</f>
        <v>00000000</v>
      </c>
      <c r="I523" t="s">
        <v>35</v>
      </c>
      <c r="J523"/>
      <c r="K523">
        <v>2.71</v>
      </c>
      <c r="L523">
        <v>0.0</v>
      </c>
      <c r="M523"/>
      <c r="N523"/>
      <c r="O523">
        <v>0.49</v>
      </c>
      <c r="P523">
        <v>0.0</v>
      </c>
      <c r="Q523">
        <v>3.2</v>
      </c>
      <c r="R523"/>
      <c r="S523"/>
      <c r="T523"/>
      <c r="U523"/>
      <c r="V523"/>
      <c r="W523">
        <v>18</v>
      </c>
    </row>
    <row r="524" spans="1:23">
      <c r="A524"/>
      <c r="B524" t="s">
        <v>48</v>
      </c>
      <c r="C524" t="s">
        <v>48</v>
      </c>
      <c r="D524" t="s">
        <v>33</v>
      </c>
      <c r="E524" t="s">
        <v>34</v>
      </c>
      <c r="F524" t="str">
        <f>"0000850"</f>
        <v>0000850</v>
      </c>
      <c r="G524">
        <v>1</v>
      </c>
      <c r="H524" t="str">
        <f>"00000000"</f>
        <v>00000000</v>
      </c>
      <c r="I524" t="s">
        <v>35</v>
      </c>
      <c r="J524"/>
      <c r="K524">
        <v>48.69</v>
      </c>
      <c r="L524">
        <v>0.0</v>
      </c>
      <c r="M524"/>
      <c r="N524"/>
      <c r="O524">
        <v>8.76</v>
      </c>
      <c r="P524">
        <v>0.6</v>
      </c>
      <c r="Q524">
        <v>58.05</v>
      </c>
      <c r="R524"/>
      <c r="S524"/>
      <c r="T524"/>
      <c r="U524"/>
      <c r="V524"/>
      <c r="W524">
        <v>18</v>
      </c>
    </row>
    <row r="525" spans="1:23">
      <c r="A525"/>
      <c r="B525" t="s">
        <v>48</v>
      </c>
      <c r="C525" t="s">
        <v>48</v>
      </c>
      <c r="D525" t="s">
        <v>33</v>
      </c>
      <c r="E525" t="s">
        <v>34</v>
      </c>
      <c r="F525" t="str">
        <f>"0000851"</f>
        <v>0000851</v>
      </c>
      <c r="G525">
        <v>1</v>
      </c>
      <c r="H525" t="str">
        <f>"00000000"</f>
        <v>00000000</v>
      </c>
      <c r="I525" t="s">
        <v>35</v>
      </c>
      <c r="J525"/>
      <c r="K525">
        <v>16.31</v>
      </c>
      <c r="L525">
        <v>0.0</v>
      </c>
      <c r="M525"/>
      <c r="N525"/>
      <c r="O525">
        <v>2.94</v>
      </c>
      <c r="P525">
        <v>0.0</v>
      </c>
      <c r="Q525">
        <v>19.24</v>
      </c>
      <c r="R525"/>
      <c r="S525"/>
      <c r="T525"/>
      <c r="U525"/>
      <c r="V525"/>
      <c r="W525">
        <v>18</v>
      </c>
    </row>
    <row r="526" spans="1:23">
      <c r="A526"/>
      <c r="B526" t="s">
        <v>48</v>
      </c>
      <c r="C526" t="s">
        <v>48</v>
      </c>
      <c r="D526" t="s">
        <v>33</v>
      </c>
      <c r="E526" t="s">
        <v>34</v>
      </c>
      <c r="F526" t="str">
        <f>"0000852"</f>
        <v>0000852</v>
      </c>
      <c r="G526">
        <v>1</v>
      </c>
      <c r="H526" t="str">
        <f>"00000000"</f>
        <v>00000000</v>
      </c>
      <c r="I526" t="s">
        <v>35</v>
      </c>
      <c r="J526"/>
      <c r="K526">
        <v>55.92</v>
      </c>
      <c r="L526">
        <v>0.0</v>
      </c>
      <c r="M526"/>
      <c r="N526"/>
      <c r="O526">
        <v>10.06</v>
      </c>
      <c r="P526">
        <v>0.0</v>
      </c>
      <c r="Q526">
        <v>65.98</v>
      </c>
      <c r="R526"/>
      <c r="S526"/>
      <c r="T526"/>
      <c r="U526"/>
      <c r="V526"/>
      <c r="W526">
        <v>18</v>
      </c>
    </row>
    <row r="527" spans="1:23">
      <c r="A527"/>
      <c r="B527" t="s">
        <v>48</v>
      </c>
      <c r="C527" t="s">
        <v>48</v>
      </c>
      <c r="D527" t="s">
        <v>33</v>
      </c>
      <c r="E527" t="s">
        <v>34</v>
      </c>
      <c r="F527" t="str">
        <f>"0000853"</f>
        <v>0000853</v>
      </c>
      <c r="G527">
        <v>1</v>
      </c>
      <c r="H527" t="str">
        <f>"00000000"</f>
        <v>00000000</v>
      </c>
      <c r="I527" t="s">
        <v>35</v>
      </c>
      <c r="J527"/>
      <c r="K527">
        <v>16.1</v>
      </c>
      <c r="L527">
        <v>0.0</v>
      </c>
      <c r="M527"/>
      <c r="N527"/>
      <c r="O527">
        <v>2.9</v>
      </c>
      <c r="P527">
        <v>0.0</v>
      </c>
      <c r="Q527">
        <v>19.0</v>
      </c>
      <c r="R527"/>
      <c r="S527"/>
      <c r="T527"/>
      <c r="U527"/>
      <c r="V527"/>
      <c r="W527">
        <v>18</v>
      </c>
    </row>
    <row r="528" spans="1:23">
      <c r="A528"/>
      <c r="B528" t="s">
        <v>48</v>
      </c>
      <c r="C528" t="s">
        <v>48</v>
      </c>
      <c r="D528" t="s">
        <v>33</v>
      </c>
      <c r="E528" t="s">
        <v>34</v>
      </c>
      <c r="F528" t="str">
        <f>"0000854"</f>
        <v>0000854</v>
      </c>
      <c r="G528">
        <v>1</v>
      </c>
      <c r="H528" t="str">
        <f>"00000000"</f>
        <v>00000000</v>
      </c>
      <c r="I528" t="s">
        <v>35</v>
      </c>
      <c r="J528"/>
      <c r="K528">
        <v>6.98</v>
      </c>
      <c r="L528">
        <v>0.0</v>
      </c>
      <c r="M528"/>
      <c r="N528"/>
      <c r="O528">
        <v>1.26</v>
      </c>
      <c r="P528">
        <v>0.0</v>
      </c>
      <c r="Q528">
        <v>8.24</v>
      </c>
      <c r="R528"/>
      <c r="S528"/>
      <c r="T528"/>
      <c r="U528"/>
      <c r="V528"/>
      <c r="W528">
        <v>18</v>
      </c>
    </row>
    <row r="529" spans="1:23">
      <c r="A529"/>
      <c r="B529" t="s">
        <v>48</v>
      </c>
      <c r="C529" t="s">
        <v>48</v>
      </c>
      <c r="D529" t="s">
        <v>33</v>
      </c>
      <c r="E529" t="s">
        <v>34</v>
      </c>
      <c r="F529" t="str">
        <f>"0000855"</f>
        <v>0000855</v>
      </c>
      <c r="G529">
        <v>1</v>
      </c>
      <c r="H529" t="str">
        <f>"00000000"</f>
        <v>00000000</v>
      </c>
      <c r="I529" t="s">
        <v>35</v>
      </c>
      <c r="J529"/>
      <c r="K529">
        <v>150.54</v>
      </c>
      <c r="L529">
        <v>0.0</v>
      </c>
      <c r="M529"/>
      <c r="N529"/>
      <c r="O529">
        <v>27.1</v>
      </c>
      <c r="P529">
        <v>0.0</v>
      </c>
      <c r="Q529">
        <v>177.64</v>
      </c>
      <c r="R529"/>
      <c r="S529"/>
      <c r="T529"/>
      <c r="U529"/>
      <c r="V529"/>
      <c r="W529">
        <v>18</v>
      </c>
    </row>
    <row r="530" spans="1:23">
      <c r="A530"/>
      <c r="B530" t="s">
        <v>48</v>
      </c>
      <c r="C530" t="s">
        <v>48</v>
      </c>
      <c r="D530" t="s">
        <v>33</v>
      </c>
      <c r="E530" t="s">
        <v>34</v>
      </c>
      <c r="F530" t="str">
        <f>"0000856"</f>
        <v>0000856</v>
      </c>
      <c r="G530">
        <v>1</v>
      </c>
      <c r="H530" t="str">
        <f>"00000000"</f>
        <v>00000000</v>
      </c>
      <c r="I530" t="s">
        <v>35</v>
      </c>
      <c r="J530"/>
      <c r="K530">
        <v>3.73</v>
      </c>
      <c r="L530">
        <v>0.0</v>
      </c>
      <c r="M530"/>
      <c r="N530"/>
      <c r="O530">
        <v>0.67</v>
      </c>
      <c r="P530">
        <v>0.0</v>
      </c>
      <c r="Q530">
        <v>4.4</v>
      </c>
      <c r="R530"/>
      <c r="S530"/>
      <c r="T530"/>
      <c r="U530"/>
      <c r="V530"/>
      <c r="W530">
        <v>18</v>
      </c>
    </row>
    <row r="531" spans="1:23">
      <c r="A531"/>
      <c r="B531" t="s">
        <v>48</v>
      </c>
      <c r="C531" t="s">
        <v>48</v>
      </c>
      <c r="D531" t="s">
        <v>33</v>
      </c>
      <c r="E531" t="s">
        <v>34</v>
      </c>
      <c r="F531" t="str">
        <f>"0000857"</f>
        <v>0000857</v>
      </c>
      <c r="G531">
        <v>1</v>
      </c>
      <c r="H531" t="str">
        <f>"00000000"</f>
        <v>00000000</v>
      </c>
      <c r="I531" t="s">
        <v>35</v>
      </c>
      <c r="J531"/>
      <c r="K531">
        <v>20.55</v>
      </c>
      <c r="L531">
        <v>0.0</v>
      </c>
      <c r="M531"/>
      <c r="N531"/>
      <c r="O531">
        <v>3.7</v>
      </c>
      <c r="P531">
        <v>0.2</v>
      </c>
      <c r="Q531">
        <v>24.45</v>
      </c>
      <c r="R531"/>
      <c r="S531"/>
      <c r="T531"/>
      <c r="U531"/>
      <c r="V531"/>
      <c r="W531">
        <v>18</v>
      </c>
    </row>
    <row r="532" spans="1:23">
      <c r="A532"/>
      <c r="B532" t="s">
        <v>48</v>
      </c>
      <c r="C532" t="s">
        <v>48</v>
      </c>
      <c r="D532" t="s">
        <v>33</v>
      </c>
      <c r="E532" t="s">
        <v>34</v>
      </c>
      <c r="F532" t="str">
        <f>"0000858"</f>
        <v>0000858</v>
      </c>
      <c r="G532">
        <v>1</v>
      </c>
      <c r="H532" t="str">
        <f>"00000000"</f>
        <v>00000000</v>
      </c>
      <c r="I532" t="s">
        <v>35</v>
      </c>
      <c r="J532"/>
      <c r="K532">
        <v>13.86</v>
      </c>
      <c r="L532">
        <v>0.0</v>
      </c>
      <c r="M532"/>
      <c r="N532"/>
      <c r="O532">
        <v>2.49</v>
      </c>
      <c r="P532">
        <v>0.2</v>
      </c>
      <c r="Q532">
        <v>16.55</v>
      </c>
      <c r="R532"/>
      <c r="S532"/>
      <c r="T532"/>
      <c r="U532"/>
      <c r="V532"/>
      <c r="W532">
        <v>18</v>
      </c>
    </row>
    <row r="533" spans="1:23">
      <c r="A533"/>
      <c r="B533" t="s">
        <v>48</v>
      </c>
      <c r="C533" t="s">
        <v>48</v>
      </c>
      <c r="D533" t="s">
        <v>33</v>
      </c>
      <c r="E533" t="s">
        <v>34</v>
      </c>
      <c r="F533" t="str">
        <f>"0000859"</f>
        <v>0000859</v>
      </c>
      <c r="G533">
        <v>1</v>
      </c>
      <c r="H533" t="str">
        <f>"00000000"</f>
        <v>00000000</v>
      </c>
      <c r="I533" t="s">
        <v>35</v>
      </c>
      <c r="J533"/>
      <c r="K533">
        <v>12.01</v>
      </c>
      <c r="L533">
        <v>0.0</v>
      </c>
      <c r="M533"/>
      <c r="N533"/>
      <c r="O533">
        <v>2.16</v>
      </c>
      <c r="P533">
        <v>0.2</v>
      </c>
      <c r="Q533">
        <v>14.37</v>
      </c>
      <c r="R533"/>
      <c r="S533"/>
      <c r="T533"/>
      <c r="U533"/>
      <c r="V533"/>
      <c r="W533">
        <v>18</v>
      </c>
    </row>
    <row r="534" spans="1:23">
      <c r="A534"/>
      <c r="B534" t="s">
        <v>48</v>
      </c>
      <c r="C534" t="s">
        <v>48</v>
      </c>
      <c r="D534" t="s">
        <v>33</v>
      </c>
      <c r="E534" t="s">
        <v>34</v>
      </c>
      <c r="F534" t="str">
        <f>"0000860"</f>
        <v>0000860</v>
      </c>
      <c r="G534">
        <v>1</v>
      </c>
      <c r="H534" t="str">
        <f>"00000000"</f>
        <v>00000000</v>
      </c>
      <c r="I534" t="s">
        <v>35</v>
      </c>
      <c r="J534"/>
      <c r="K534">
        <v>5.08</v>
      </c>
      <c r="L534">
        <v>0.0</v>
      </c>
      <c r="M534"/>
      <c r="N534"/>
      <c r="O534">
        <v>0.92</v>
      </c>
      <c r="P534">
        <v>0.0</v>
      </c>
      <c r="Q534">
        <v>6.0</v>
      </c>
      <c r="R534"/>
      <c r="S534"/>
      <c r="T534"/>
      <c r="U534"/>
      <c r="V534"/>
      <c r="W534">
        <v>18</v>
      </c>
    </row>
    <row r="535" spans="1:23">
      <c r="A535"/>
      <c r="B535" t="s">
        <v>48</v>
      </c>
      <c r="C535" t="s">
        <v>48</v>
      </c>
      <c r="D535" t="s">
        <v>33</v>
      </c>
      <c r="E535" t="s">
        <v>34</v>
      </c>
      <c r="F535" t="str">
        <f>"0000861"</f>
        <v>0000861</v>
      </c>
      <c r="G535">
        <v>1</v>
      </c>
      <c r="H535" t="str">
        <f>"00000000"</f>
        <v>00000000</v>
      </c>
      <c r="I535" t="s">
        <v>35</v>
      </c>
      <c r="J535"/>
      <c r="K535">
        <v>0.03</v>
      </c>
      <c r="L535">
        <v>0.0</v>
      </c>
      <c r="M535"/>
      <c r="N535"/>
      <c r="O535">
        <v>0.0</v>
      </c>
      <c r="P535">
        <v>0.2</v>
      </c>
      <c r="Q535">
        <v>0.23</v>
      </c>
      <c r="R535"/>
      <c r="S535"/>
      <c r="T535"/>
      <c r="U535"/>
      <c r="V535"/>
      <c r="W535">
        <v>18</v>
      </c>
    </row>
    <row r="536" spans="1:23">
      <c r="A536"/>
      <c r="B536" t="s">
        <v>48</v>
      </c>
      <c r="C536" t="s">
        <v>48</v>
      </c>
      <c r="D536" t="s">
        <v>33</v>
      </c>
      <c r="E536" t="s">
        <v>34</v>
      </c>
      <c r="F536" t="str">
        <f>"0000862"</f>
        <v>0000862</v>
      </c>
      <c r="G536">
        <v>1</v>
      </c>
      <c r="H536" t="str">
        <f>"00000000"</f>
        <v>00000000</v>
      </c>
      <c r="I536" t="s">
        <v>35</v>
      </c>
      <c r="J536"/>
      <c r="K536">
        <v>10.59</v>
      </c>
      <c r="L536">
        <v>0.0</v>
      </c>
      <c r="M536"/>
      <c r="N536"/>
      <c r="O536">
        <v>1.91</v>
      </c>
      <c r="P536">
        <v>0.0</v>
      </c>
      <c r="Q536">
        <v>12.5</v>
      </c>
      <c r="R536"/>
      <c r="S536"/>
      <c r="T536"/>
      <c r="U536"/>
      <c r="V536"/>
      <c r="W536">
        <v>18</v>
      </c>
    </row>
    <row r="537" spans="1:23">
      <c r="A537"/>
      <c r="B537" t="s">
        <v>48</v>
      </c>
      <c r="C537" t="s">
        <v>48</v>
      </c>
      <c r="D537" t="s">
        <v>33</v>
      </c>
      <c r="E537" t="s">
        <v>34</v>
      </c>
      <c r="F537" t="str">
        <f>"0000863"</f>
        <v>0000863</v>
      </c>
      <c r="G537">
        <v>1</v>
      </c>
      <c r="H537" t="str">
        <f>"00000000"</f>
        <v>00000000</v>
      </c>
      <c r="I537" t="s">
        <v>35</v>
      </c>
      <c r="J537"/>
      <c r="K537">
        <v>8.05</v>
      </c>
      <c r="L537">
        <v>0.0</v>
      </c>
      <c r="M537"/>
      <c r="N537"/>
      <c r="O537">
        <v>1.45</v>
      </c>
      <c r="P537">
        <v>0.0</v>
      </c>
      <c r="Q537">
        <v>9.5</v>
      </c>
      <c r="R537"/>
      <c r="S537"/>
      <c r="T537"/>
      <c r="U537"/>
      <c r="V537"/>
      <c r="W537">
        <v>18</v>
      </c>
    </row>
    <row r="538" spans="1:23">
      <c r="A538"/>
      <c r="B538" t="s">
        <v>48</v>
      </c>
      <c r="C538" t="s">
        <v>48</v>
      </c>
      <c r="D538" t="s">
        <v>33</v>
      </c>
      <c r="E538" t="s">
        <v>34</v>
      </c>
      <c r="F538" t="str">
        <f>"0000864"</f>
        <v>0000864</v>
      </c>
      <c r="G538">
        <v>1</v>
      </c>
      <c r="H538" t="str">
        <f>"00000000"</f>
        <v>00000000</v>
      </c>
      <c r="I538" t="s">
        <v>35</v>
      </c>
      <c r="J538"/>
      <c r="K538">
        <v>2.09</v>
      </c>
      <c r="L538">
        <v>0.0</v>
      </c>
      <c r="M538"/>
      <c r="N538"/>
      <c r="O538">
        <v>0.38</v>
      </c>
      <c r="P538">
        <v>0.2</v>
      </c>
      <c r="Q538">
        <v>2.66</v>
      </c>
      <c r="R538"/>
      <c r="S538"/>
      <c r="T538"/>
      <c r="U538"/>
      <c r="V538"/>
      <c r="W538">
        <v>18</v>
      </c>
    </row>
    <row r="539" spans="1:23">
      <c r="A539"/>
      <c r="B539" t="s">
        <v>48</v>
      </c>
      <c r="C539" t="s">
        <v>48</v>
      </c>
      <c r="D539" t="s">
        <v>33</v>
      </c>
      <c r="E539" t="s">
        <v>34</v>
      </c>
      <c r="F539" t="str">
        <f>"0000865"</f>
        <v>0000865</v>
      </c>
      <c r="G539">
        <v>1</v>
      </c>
      <c r="H539" t="str">
        <f>"00000000"</f>
        <v>00000000</v>
      </c>
      <c r="I539" t="s">
        <v>35</v>
      </c>
      <c r="J539"/>
      <c r="K539">
        <v>0.03</v>
      </c>
      <c r="L539">
        <v>0.0</v>
      </c>
      <c r="M539"/>
      <c r="N539"/>
      <c r="O539">
        <v>0.0</v>
      </c>
      <c r="P539">
        <v>0.2</v>
      </c>
      <c r="Q539">
        <v>0.23</v>
      </c>
      <c r="R539"/>
      <c r="S539"/>
      <c r="T539"/>
      <c r="U539"/>
      <c r="V539"/>
      <c r="W539">
        <v>18</v>
      </c>
    </row>
    <row r="540" spans="1:23">
      <c r="A540"/>
      <c r="B540" t="s">
        <v>48</v>
      </c>
      <c r="C540" t="s">
        <v>48</v>
      </c>
      <c r="D540" t="s">
        <v>33</v>
      </c>
      <c r="E540" t="s">
        <v>34</v>
      </c>
      <c r="F540" t="str">
        <f>"0000867"</f>
        <v>0000867</v>
      </c>
      <c r="G540">
        <v>1</v>
      </c>
      <c r="H540" t="str">
        <f>"00000000"</f>
        <v>00000000</v>
      </c>
      <c r="I540" t="s">
        <v>35</v>
      </c>
      <c r="J540"/>
      <c r="K540">
        <v>1.75</v>
      </c>
      <c r="L540">
        <v>0.0</v>
      </c>
      <c r="M540"/>
      <c r="N540"/>
      <c r="O540">
        <v>0.31</v>
      </c>
      <c r="P540">
        <v>0.0</v>
      </c>
      <c r="Q540">
        <v>2.06</v>
      </c>
      <c r="R540"/>
      <c r="S540"/>
      <c r="T540"/>
      <c r="U540"/>
      <c r="V540"/>
      <c r="W540">
        <v>18</v>
      </c>
    </row>
    <row r="541" spans="1:23">
      <c r="A541"/>
      <c r="B541" t="s">
        <v>48</v>
      </c>
      <c r="C541" t="s">
        <v>48</v>
      </c>
      <c r="D541" t="s">
        <v>33</v>
      </c>
      <c r="E541" t="s">
        <v>34</v>
      </c>
      <c r="F541" t="str">
        <f>"0000867"</f>
        <v>0000867</v>
      </c>
      <c r="G541">
        <v>1</v>
      </c>
      <c r="H541" t="str">
        <f>"00000000"</f>
        <v>00000000</v>
      </c>
      <c r="I541" t="s">
        <v>35</v>
      </c>
      <c r="J541"/>
      <c r="K541">
        <v>1.75</v>
      </c>
      <c r="L541">
        <v>0.0</v>
      </c>
      <c r="M541"/>
      <c r="N541"/>
      <c r="O541">
        <v>0.31</v>
      </c>
      <c r="P541">
        <v>0.0</v>
      </c>
      <c r="Q541">
        <v>2.06</v>
      </c>
      <c r="R541"/>
      <c r="S541"/>
      <c r="T541"/>
      <c r="U541"/>
      <c r="V541"/>
      <c r="W541">
        <v>18</v>
      </c>
    </row>
    <row r="542" spans="1:23">
      <c r="A542"/>
      <c r="B542" t="s">
        <v>48</v>
      </c>
      <c r="C542" t="s">
        <v>48</v>
      </c>
      <c r="D542" t="s">
        <v>33</v>
      </c>
      <c r="E542" t="s">
        <v>34</v>
      </c>
      <c r="F542" t="str">
        <f>"0000868"</f>
        <v>0000868</v>
      </c>
      <c r="G542">
        <v>1</v>
      </c>
      <c r="H542" t="str">
        <f>"00000000"</f>
        <v>00000000</v>
      </c>
      <c r="I542" t="s">
        <v>35</v>
      </c>
      <c r="J542"/>
      <c r="K542">
        <v>2.12</v>
      </c>
      <c r="L542">
        <v>0.0</v>
      </c>
      <c r="M542"/>
      <c r="N542"/>
      <c r="O542">
        <v>0.38</v>
      </c>
      <c r="P542">
        <v>0.0</v>
      </c>
      <c r="Q542">
        <v>2.5</v>
      </c>
      <c r="R542"/>
      <c r="S542"/>
      <c r="T542"/>
      <c r="U542"/>
      <c r="V542"/>
      <c r="W542">
        <v>18</v>
      </c>
    </row>
    <row r="543" spans="1:23">
      <c r="A543"/>
      <c r="B543" t="s">
        <v>48</v>
      </c>
      <c r="C543" t="s">
        <v>48</v>
      </c>
      <c r="D543" t="s">
        <v>33</v>
      </c>
      <c r="E543" t="s">
        <v>34</v>
      </c>
      <c r="F543" t="str">
        <f>"0000869"</f>
        <v>0000869</v>
      </c>
      <c r="G543">
        <v>1</v>
      </c>
      <c r="H543" t="str">
        <f>"00000000"</f>
        <v>00000000</v>
      </c>
      <c r="I543" t="s">
        <v>35</v>
      </c>
      <c r="J543"/>
      <c r="K543">
        <v>2.54</v>
      </c>
      <c r="L543">
        <v>0.0</v>
      </c>
      <c r="M543"/>
      <c r="N543"/>
      <c r="O543">
        <v>0.46</v>
      </c>
      <c r="P543">
        <v>0.0</v>
      </c>
      <c r="Q543">
        <v>3.0</v>
      </c>
      <c r="R543"/>
      <c r="S543"/>
      <c r="T543"/>
      <c r="U543"/>
      <c r="V543"/>
      <c r="W543">
        <v>18</v>
      </c>
    </row>
    <row r="544" spans="1:23">
      <c r="A544"/>
      <c r="B544" t="s">
        <v>48</v>
      </c>
      <c r="C544" t="s">
        <v>48</v>
      </c>
      <c r="D544" t="s">
        <v>33</v>
      </c>
      <c r="E544" t="s">
        <v>34</v>
      </c>
      <c r="F544" t="str">
        <f>"0000870"</f>
        <v>0000870</v>
      </c>
      <c r="G544">
        <v>1</v>
      </c>
      <c r="H544" t="str">
        <f>"00000000"</f>
        <v>00000000</v>
      </c>
      <c r="I544" t="s">
        <v>35</v>
      </c>
      <c r="J544"/>
      <c r="K544">
        <v>17.69</v>
      </c>
      <c r="L544">
        <v>0.0</v>
      </c>
      <c r="M544"/>
      <c r="N544"/>
      <c r="O544">
        <v>3.19</v>
      </c>
      <c r="P544">
        <v>0.2</v>
      </c>
      <c r="Q544">
        <v>21.08</v>
      </c>
      <c r="R544"/>
      <c r="S544"/>
      <c r="T544"/>
      <c r="U544"/>
      <c r="V544"/>
      <c r="W544">
        <v>18</v>
      </c>
    </row>
    <row r="545" spans="1:23">
      <c r="A545"/>
      <c r="B545" t="s">
        <v>48</v>
      </c>
      <c r="C545" t="s">
        <v>48</v>
      </c>
      <c r="D545" t="s">
        <v>33</v>
      </c>
      <c r="E545" t="s">
        <v>34</v>
      </c>
      <c r="F545" t="str">
        <f>"0000872"</f>
        <v>0000872</v>
      </c>
      <c r="G545">
        <v>1</v>
      </c>
      <c r="H545" t="str">
        <f>"00000000"</f>
        <v>00000000</v>
      </c>
      <c r="I545" t="s">
        <v>35</v>
      </c>
      <c r="J545"/>
      <c r="K545">
        <v>4.92</v>
      </c>
      <c r="L545">
        <v>0.0</v>
      </c>
      <c r="M545"/>
      <c r="N545"/>
      <c r="O545">
        <v>0.88</v>
      </c>
      <c r="P545">
        <v>0.2</v>
      </c>
      <c r="Q545">
        <v>6.0</v>
      </c>
      <c r="R545"/>
      <c r="S545"/>
      <c r="T545"/>
      <c r="U545"/>
      <c r="V545"/>
      <c r="W545">
        <v>18</v>
      </c>
    </row>
    <row r="546" spans="1:23">
      <c r="A546"/>
      <c r="B546" t="s">
        <v>48</v>
      </c>
      <c r="C546" t="s">
        <v>48</v>
      </c>
      <c r="D546" t="s">
        <v>33</v>
      </c>
      <c r="E546" t="s">
        <v>34</v>
      </c>
      <c r="F546" t="str">
        <f>"0000872"</f>
        <v>0000872</v>
      </c>
      <c r="G546">
        <v>1</v>
      </c>
      <c r="H546" t="str">
        <f>"00000000"</f>
        <v>00000000</v>
      </c>
      <c r="I546" t="s">
        <v>35</v>
      </c>
      <c r="J546"/>
      <c r="K546">
        <v>4.92</v>
      </c>
      <c r="L546">
        <v>0.0</v>
      </c>
      <c r="M546"/>
      <c r="N546"/>
      <c r="O546">
        <v>0.88</v>
      </c>
      <c r="P546">
        <v>0.2</v>
      </c>
      <c r="Q546">
        <v>6.0</v>
      </c>
      <c r="R546"/>
      <c r="S546"/>
      <c r="T546"/>
      <c r="U546"/>
      <c r="V546"/>
      <c r="W546">
        <v>18</v>
      </c>
    </row>
    <row r="547" spans="1:23">
      <c r="A547"/>
      <c r="B547" t="s">
        <v>48</v>
      </c>
      <c r="C547" t="s">
        <v>48</v>
      </c>
      <c r="D547" t="s">
        <v>33</v>
      </c>
      <c r="E547" t="s">
        <v>34</v>
      </c>
      <c r="F547" t="str">
        <f>"0000873"</f>
        <v>0000873</v>
      </c>
      <c r="G547">
        <v>1</v>
      </c>
      <c r="H547" t="str">
        <f>"00000000"</f>
        <v>00000000</v>
      </c>
      <c r="I547" t="s">
        <v>35</v>
      </c>
      <c r="J547"/>
      <c r="K547">
        <v>20.71</v>
      </c>
      <c r="L547">
        <v>0.0</v>
      </c>
      <c r="M547"/>
      <c r="N547"/>
      <c r="O547">
        <v>3.73</v>
      </c>
      <c r="P547">
        <v>0.2</v>
      </c>
      <c r="Q547">
        <v>24.64</v>
      </c>
      <c r="R547"/>
      <c r="S547"/>
      <c r="T547"/>
      <c r="U547"/>
      <c r="V547"/>
      <c r="W547">
        <v>18</v>
      </c>
    </row>
    <row r="548" spans="1:23">
      <c r="A548"/>
      <c r="B548" t="s">
        <v>48</v>
      </c>
      <c r="C548" t="s">
        <v>48</v>
      </c>
      <c r="D548" t="s">
        <v>33</v>
      </c>
      <c r="E548" t="s">
        <v>34</v>
      </c>
      <c r="F548" t="str">
        <f>"0000874"</f>
        <v>0000874</v>
      </c>
      <c r="G548">
        <v>1</v>
      </c>
      <c r="H548" t="str">
        <f>"00000000"</f>
        <v>00000000</v>
      </c>
      <c r="I548" t="s">
        <v>35</v>
      </c>
      <c r="J548"/>
      <c r="K548">
        <v>0.71</v>
      </c>
      <c r="L548">
        <v>0.0</v>
      </c>
      <c r="M548"/>
      <c r="N548"/>
      <c r="O548">
        <v>0.13</v>
      </c>
      <c r="P548">
        <v>0.0</v>
      </c>
      <c r="Q548">
        <v>0.84</v>
      </c>
      <c r="R548"/>
      <c r="S548"/>
      <c r="T548"/>
      <c r="U548"/>
      <c r="V548"/>
      <c r="W548">
        <v>18</v>
      </c>
    </row>
    <row r="549" spans="1:23">
      <c r="A549"/>
      <c r="B549" t="s">
        <v>48</v>
      </c>
      <c r="C549" t="s">
        <v>48</v>
      </c>
      <c r="D549" t="s">
        <v>33</v>
      </c>
      <c r="E549" t="s">
        <v>34</v>
      </c>
      <c r="F549" t="str">
        <f>"0000875"</f>
        <v>0000875</v>
      </c>
      <c r="G549">
        <v>1</v>
      </c>
      <c r="H549" t="str">
        <f>"00000000"</f>
        <v>00000000</v>
      </c>
      <c r="I549" t="s">
        <v>35</v>
      </c>
      <c r="J549"/>
      <c r="K549">
        <v>8.38</v>
      </c>
      <c r="L549">
        <v>0.0</v>
      </c>
      <c r="M549"/>
      <c r="N549"/>
      <c r="O549">
        <v>1.51</v>
      </c>
      <c r="P549">
        <v>0.2</v>
      </c>
      <c r="Q549">
        <v>10.09</v>
      </c>
      <c r="R549"/>
      <c r="S549"/>
      <c r="T549"/>
      <c r="U549"/>
      <c r="V549"/>
      <c r="W549">
        <v>18</v>
      </c>
    </row>
    <row r="550" spans="1:23">
      <c r="A550"/>
      <c r="B550" t="s">
        <v>48</v>
      </c>
      <c r="C550" t="s">
        <v>48</v>
      </c>
      <c r="D550" t="s">
        <v>33</v>
      </c>
      <c r="E550" t="s">
        <v>34</v>
      </c>
      <c r="F550" t="str">
        <f>"0000876"</f>
        <v>0000876</v>
      </c>
      <c r="G550">
        <v>1</v>
      </c>
      <c r="H550" t="str">
        <f>"00000000"</f>
        <v>00000000</v>
      </c>
      <c r="I550" t="s">
        <v>35</v>
      </c>
      <c r="J550"/>
      <c r="K550">
        <v>20.17</v>
      </c>
      <c r="L550">
        <v>0.0</v>
      </c>
      <c r="M550"/>
      <c r="N550"/>
      <c r="O550">
        <v>3.63</v>
      </c>
      <c r="P550">
        <v>0.0</v>
      </c>
      <c r="Q550">
        <v>23.8</v>
      </c>
      <c r="R550"/>
      <c r="S550"/>
      <c r="T550"/>
      <c r="U550"/>
      <c r="V550"/>
      <c r="W550">
        <v>18</v>
      </c>
    </row>
    <row r="551" spans="1:23">
      <c r="A551"/>
      <c r="B551" t="s">
        <v>48</v>
      </c>
      <c r="C551" t="s">
        <v>48</v>
      </c>
      <c r="D551" t="s">
        <v>33</v>
      </c>
      <c r="E551" t="s">
        <v>34</v>
      </c>
      <c r="F551" t="str">
        <f>"0000877"</f>
        <v>0000877</v>
      </c>
      <c r="G551">
        <v>1</v>
      </c>
      <c r="H551" t="str">
        <f>"00000000"</f>
        <v>00000000</v>
      </c>
      <c r="I551" t="s">
        <v>35</v>
      </c>
      <c r="J551"/>
      <c r="K551">
        <v>31.27</v>
      </c>
      <c r="L551">
        <v>0.0</v>
      </c>
      <c r="M551"/>
      <c r="N551"/>
      <c r="O551">
        <v>5.63</v>
      </c>
      <c r="P551">
        <v>0.0</v>
      </c>
      <c r="Q551">
        <v>36.9</v>
      </c>
      <c r="R551"/>
      <c r="S551"/>
      <c r="T551"/>
      <c r="U551"/>
      <c r="V551"/>
      <c r="W551">
        <v>18</v>
      </c>
    </row>
    <row r="552" spans="1:23">
      <c r="A552"/>
      <c r="B552" t="s">
        <v>48</v>
      </c>
      <c r="C552" t="s">
        <v>48</v>
      </c>
      <c r="D552" t="s">
        <v>33</v>
      </c>
      <c r="E552" t="s">
        <v>34</v>
      </c>
      <c r="F552" t="str">
        <f>"0000878"</f>
        <v>0000878</v>
      </c>
      <c r="G552">
        <v>1</v>
      </c>
      <c r="H552" t="str">
        <f>"00000000"</f>
        <v>00000000</v>
      </c>
      <c r="I552" t="s">
        <v>35</v>
      </c>
      <c r="J552"/>
      <c r="K552">
        <v>4.4</v>
      </c>
      <c r="L552">
        <v>0.0</v>
      </c>
      <c r="M552"/>
      <c r="N552"/>
      <c r="O552">
        <v>0.79</v>
      </c>
      <c r="P552">
        <v>0.2</v>
      </c>
      <c r="Q552">
        <v>5.39</v>
      </c>
      <c r="R552"/>
      <c r="S552"/>
      <c r="T552"/>
      <c r="U552"/>
      <c r="V552"/>
      <c r="W552">
        <v>18</v>
      </c>
    </row>
    <row r="553" spans="1:23">
      <c r="A553"/>
      <c r="B553" t="s">
        <v>48</v>
      </c>
      <c r="C553" t="s">
        <v>48</v>
      </c>
      <c r="D553" t="s">
        <v>33</v>
      </c>
      <c r="E553" t="s">
        <v>34</v>
      </c>
      <c r="F553" t="str">
        <f>"0000879"</f>
        <v>0000879</v>
      </c>
      <c r="G553">
        <v>1</v>
      </c>
      <c r="H553" t="str">
        <f>"00000000"</f>
        <v>00000000</v>
      </c>
      <c r="I553" t="s">
        <v>35</v>
      </c>
      <c r="J553"/>
      <c r="K553">
        <v>12.56</v>
      </c>
      <c r="L553">
        <v>0.0</v>
      </c>
      <c r="M553"/>
      <c r="N553"/>
      <c r="O553">
        <v>2.26</v>
      </c>
      <c r="P553">
        <v>0.0</v>
      </c>
      <c r="Q553">
        <v>14.82</v>
      </c>
      <c r="R553"/>
      <c r="S553"/>
      <c r="T553"/>
      <c r="U553"/>
      <c r="V553"/>
      <c r="W553">
        <v>18</v>
      </c>
    </row>
    <row r="554" spans="1:23">
      <c r="A554"/>
      <c r="B554" t="s">
        <v>48</v>
      </c>
      <c r="C554" t="s">
        <v>48</v>
      </c>
      <c r="D554" t="s">
        <v>33</v>
      </c>
      <c r="E554" t="s">
        <v>34</v>
      </c>
      <c r="F554" t="str">
        <f>"0000880"</f>
        <v>0000880</v>
      </c>
      <c r="G554">
        <v>1</v>
      </c>
      <c r="H554" t="str">
        <f>"00000000"</f>
        <v>00000000</v>
      </c>
      <c r="I554" t="s">
        <v>35</v>
      </c>
      <c r="J554"/>
      <c r="K554">
        <v>11.42</v>
      </c>
      <c r="L554">
        <v>0.0</v>
      </c>
      <c r="M554"/>
      <c r="N554"/>
      <c r="O554">
        <v>2.06</v>
      </c>
      <c r="P554">
        <v>0.0</v>
      </c>
      <c r="Q554">
        <v>13.48</v>
      </c>
      <c r="R554"/>
      <c r="S554"/>
      <c r="T554"/>
      <c r="U554"/>
      <c r="V554"/>
      <c r="W554">
        <v>18</v>
      </c>
    </row>
    <row r="555" spans="1:23">
      <c r="A555"/>
      <c r="B555" t="s">
        <v>48</v>
      </c>
      <c r="C555" t="s">
        <v>48</v>
      </c>
      <c r="D555" t="s">
        <v>36</v>
      </c>
      <c r="E555" t="s">
        <v>37</v>
      </c>
      <c r="F555" t="str">
        <f>"0000020"</f>
        <v>0000020</v>
      </c>
      <c r="G555">
        <v>6</v>
      </c>
      <c r="H555" t="str">
        <f>"20605900012"</f>
        <v>20605900012</v>
      </c>
      <c r="I555" t="s">
        <v>39</v>
      </c>
      <c r="J555"/>
      <c r="K555">
        <v>13.73</v>
      </c>
      <c r="L555">
        <v>0.0</v>
      </c>
      <c r="M555"/>
      <c r="N555"/>
      <c r="O555">
        <v>2.47</v>
      </c>
      <c r="P555">
        <v>0.2</v>
      </c>
      <c r="Q555">
        <v>16.4</v>
      </c>
      <c r="R555"/>
      <c r="S555"/>
      <c r="T555"/>
      <c r="U555"/>
      <c r="V555"/>
      <c r="W555">
        <v>18</v>
      </c>
    </row>
    <row r="556" spans="1:23">
      <c r="A556"/>
      <c r="B556" t="s">
        <v>48</v>
      </c>
      <c r="C556" t="s">
        <v>48</v>
      </c>
      <c r="D556" t="s">
        <v>33</v>
      </c>
      <c r="E556" t="s">
        <v>34</v>
      </c>
      <c r="F556" t="str">
        <f>"0000881"</f>
        <v>0000881</v>
      </c>
      <c r="G556">
        <v>1</v>
      </c>
      <c r="H556" t="str">
        <f>"00000000"</f>
        <v>00000000</v>
      </c>
      <c r="I556" t="s">
        <v>35</v>
      </c>
      <c r="J556"/>
      <c r="K556">
        <v>3.9</v>
      </c>
      <c r="L556">
        <v>0.0</v>
      </c>
      <c r="M556"/>
      <c r="N556"/>
      <c r="O556">
        <v>0.7</v>
      </c>
      <c r="P556">
        <v>0.0</v>
      </c>
      <c r="Q556">
        <v>4.6</v>
      </c>
      <c r="R556"/>
      <c r="S556"/>
      <c r="T556"/>
      <c r="U556"/>
      <c r="V556"/>
      <c r="W556">
        <v>18</v>
      </c>
    </row>
    <row r="557" spans="1:23">
      <c r="A557"/>
      <c r="B557" t="s">
        <v>48</v>
      </c>
      <c r="C557" t="s">
        <v>48</v>
      </c>
      <c r="D557" t="s">
        <v>33</v>
      </c>
      <c r="E557" t="s">
        <v>34</v>
      </c>
      <c r="F557" t="str">
        <f>"0000882"</f>
        <v>0000882</v>
      </c>
      <c r="G557">
        <v>1</v>
      </c>
      <c r="H557" t="str">
        <f>"00000000"</f>
        <v>00000000</v>
      </c>
      <c r="I557" t="s">
        <v>35</v>
      </c>
      <c r="J557"/>
      <c r="K557">
        <v>47.97</v>
      </c>
      <c r="L557">
        <v>0.0</v>
      </c>
      <c r="M557"/>
      <c r="N557"/>
      <c r="O557">
        <v>8.63</v>
      </c>
      <c r="P557">
        <v>0.0</v>
      </c>
      <c r="Q557">
        <v>56.6</v>
      </c>
      <c r="R557"/>
      <c r="S557"/>
      <c r="T557"/>
      <c r="U557"/>
      <c r="V557"/>
      <c r="W557">
        <v>18</v>
      </c>
    </row>
    <row r="558" spans="1:23">
      <c r="A558"/>
      <c r="B558" t="s">
        <v>48</v>
      </c>
      <c r="C558" t="s">
        <v>48</v>
      </c>
      <c r="D558" t="s">
        <v>33</v>
      </c>
      <c r="E558" t="s">
        <v>34</v>
      </c>
      <c r="F558" t="str">
        <f>"0000883"</f>
        <v>0000883</v>
      </c>
      <c r="G558">
        <v>1</v>
      </c>
      <c r="H558" t="str">
        <f>"00000000"</f>
        <v>00000000</v>
      </c>
      <c r="I558" t="s">
        <v>35</v>
      </c>
      <c r="J558"/>
      <c r="K558">
        <v>105.18</v>
      </c>
      <c r="L558">
        <v>0.0</v>
      </c>
      <c r="M558"/>
      <c r="N558"/>
      <c r="O558">
        <v>18.93</v>
      </c>
      <c r="P558">
        <v>0.4</v>
      </c>
      <c r="Q558">
        <v>124.51</v>
      </c>
      <c r="R558"/>
      <c r="S558"/>
      <c r="T558"/>
      <c r="U558"/>
      <c r="V558"/>
      <c r="W558">
        <v>18</v>
      </c>
    </row>
    <row r="559" spans="1:23">
      <c r="A559"/>
      <c r="B559" t="s">
        <v>48</v>
      </c>
      <c r="C559" t="s">
        <v>48</v>
      </c>
      <c r="D559" t="s">
        <v>33</v>
      </c>
      <c r="E559" t="s">
        <v>34</v>
      </c>
      <c r="F559" t="str">
        <f>"0000884"</f>
        <v>0000884</v>
      </c>
      <c r="G559">
        <v>1</v>
      </c>
      <c r="H559" t="str">
        <f>"00000000"</f>
        <v>00000000</v>
      </c>
      <c r="I559" t="s">
        <v>35</v>
      </c>
      <c r="J559"/>
      <c r="K559">
        <v>25.82</v>
      </c>
      <c r="L559">
        <v>0.0</v>
      </c>
      <c r="M559"/>
      <c r="N559"/>
      <c r="O559">
        <v>4.65</v>
      </c>
      <c r="P559">
        <v>0.0</v>
      </c>
      <c r="Q559">
        <v>30.46</v>
      </c>
      <c r="R559"/>
      <c r="S559"/>
      <c r="T559"/>
      <c r="U559"/>
      <c r="V559"/>
      <c r="W559">
        <v>18</v>
      </c>
    </row>
    <row r="560" spans="1:23">
      <c r="A560"/>
      <c r="B560" t="s">
        <v>48</v>
      </c>
      <c r="C560" t="s">
        <v>48</v>
      </c>
      <c r="D560" t="s">
        <v>33</v>
      </c>
      <c r="E560" t="s">
        <v>34</v>
      </c>
      <c r="F560" t="str">
        <f>"0000885"</f>
        <v>0000885</v>
      </c>
      <c r="G560">
        <v>1</v>
      </c>
      <c r="H560" t="str">
        <f>"00000000"</f>
        <v>00000000</v>
      </c>
      <c r="I560" t="s">
        <v>35</v>
      </c>
      <c r="J560"/>
      <c r="K560">
        <v>13.98</v>
      </c>
      <c r="L560">
        <v>0.0</v>
      </c>
      <c r="M560"/>
      <c r="N560"/>
      <c r="O560">
        <v>2.52</v>
      </c>
      <c r="P560">
        <v>0.0</v>
      </c>
      <c r="Q560">
        <v>16.5</v>
      </c>
      <c r="R560"/>
      <c r="S560"/>
      <c r="T560"/>
      <c r="U560"/>
      <c r="V560"/>
      <c r="W560">
        <v>18</v>
      </c>
    </row>
    <row r="561" spans="1:23">
      <c r="A561"/>
      <c r="B561" t="s">
        <v>48</v>
      </c>
      <c r="C561" t="s">
        <v>48</v>
      </c>
      <c r="D561" t="s">
        <v>33</v>
      </c>
      <c r="E561" t="s">
        <v>34</v>
      </c>
      <c r="F561" t="str">
        <f>"0000886"</f>
        <v>0000886</v>
      </c>
      <c r="G561">
        <v>1</v>
      </c>
      <c r="H561" t="str">
        <f>"00000000"</f>
        <v>00000000</v>
      </c>
      <c r="I561" t="s">
        <v>35</v>
      </c>
      <c r="J561"/>
      <c r="K561">
        <v>1.53</v>
      </c>
      <c r="L561">
        <v>0.0</v>
      </c>
      <c r="M561"/>
      <c r="N561"/>
      <c r="O561">
        <v>0.27</v>
      </c>
      <c r="P561">
        <v>0.0</v>
      </c>
      <c r="Q561">
        <v>1.8</v>
      </c>
      <c r="R561"/>
      <c r="S561"/>
      <c r="T561"/>
      <c r="U561"/>
      <c r="V561"/>
      <c r="W561">
        <v>18</v>
      </c>
    </row>
    <row r="562" spans="1:23">
      <c r="A562"/>
      <c r="B562" t="s">
        <v>48</v>
      </c>
      <c r="C562" t="s">
        <v>48</v>
      </c>
      <c r="D562" t="s">
        <v>33</v>
      </c>
      <c r="E562" t="s">
        <v>34</v>
      </c>
      <c r="F562" t="str">
        <f>"0000887"</f>
        <v>0000887</v>
      </c>
      <c r="G562">
        <v>1</v>
      </c>
      <c r="H562" t="str">
        <f>"00000000"</f>
        <v>00000000</v>
      </c>
      <c r="I562" t="s">
        <v>35</v>
      </c>
      <c r="J562"/>
      <c r="K562">
        <v>26.57</v>
      </c>
      <c r="L562">
        <v>0.0</v>
      </c>
      <c r="M562"/>
      <c r="N562"/>
      <c r="O562">
        <v>4.78</v>
      </c>
      <c r="P562">
        <v>0.2</v>
      </c>
      <c r="Q562">
        <v>31.55</v>
      </c>
      <c r="R562"/>
      <c r="S562"/>
      <c r="T562"/>
      <c r="U562"/>
      <c r="V562"/>
      <c r="W562">
        <v>18</v>
      </c>
    </row>
    <row r="563" spans="1:23">
      <c r="A563"/>
      <c r="B563" t="s">
        <v>48</v>
      </c>
      <c r="C563" t="s">
        <v>48</v>
      </c>
      <c r="D563" t="s">
        <v>33</v>
      </c>
      <c r="E563" t="s">
        <v>34</v>
      </c>
      <c r="F563" t="str">
        <f>"0000888"</f>
        <v>0000888</v>
      </c>
      <c r="G563">
        <v>1</v>
      </c>
      <c r="H563" t="str">
        <f>"00000000"</f>
        <v>00000000</v>
      </c>
      <c r="I563" t="s">
        <v>35</v>
      </c>
      <c r="J563"/>
      <c r="K563">
        <v>5.07</v>
      </c>
      <c r="L563">
        <v>0.0</v>
      </c>
      <c r="M563"/>
      <c r="N563"/>
      <c r="O563">
        <v>0.91</v>
      </c>
      <c r="P563">
        <v>0.0</v>
      </c>
      <c r="Q563">
        <v>5.98</v>
      </c>
      <c r="R563"/>
      <c r="S563"/>
      <c r="T563"/>
      <c r="U563"/>
      <c r="V563"/>
      <c r="W563">
        <v>18</v>
      </c>
    </row>
    <row r="564" spans="1:23">
      <c r="A564"/>
      <c r="B564" t="s">
        <v>48</v>
      </c>
      <c r="C564" t="s">
        <v>48</v>
      </c>
      <c r="D564" t="s">
        <v>33</v>
      </c>
      <c r="E564" t="s">
        <v>34</v>
      </c>
      <c r="F564" t="str">
        <f>"0000889"</f>
        <v>0000889</v>
      </c>
      <c r="G564">
        <v>1</v>
      </c>
      <c r="H564" t="str">
        <f>"00000000"</f>
        <v>00000000</v>
      </c>
      <c r="I564" t="s">
        <v>35</v>
      </c>
      <c r="J564"/>
      <c r="K564">
        <v>14.57</v>
      </c>
      <c r="L564">
        <v>0.0</v>
      </c>
      <c r="M564"/>
      <c r="N564"/>
      <c r="O564">
        <v>2.62</v>
      </c>
      <c r="P564">
        <v>0.2</v>
      </c>
      <c r="Q564">
        <v>17.39</v>
      </c>
      <c r="R564"/>
      <c r="S564"/>
      <c r="T564"/>
      <c r="U564"/>
      <c r="V564"/>
      <c r="W564">
        <v>18</v>
      </c>
    </row>
    <row r="565" spans="1:23">
      <c r="A565"/>
      <c r="B565" t="s">
        <v>48</v>
      </c>
      <c r="C565" t="s">
        <v>48</v>
      </c>
      <c r="D565" t="s">
        <v>33</v>
      </c>
      <c r="E565" t="s">
        <v>34</v>
      </c>
      <c r="F565" t="str">
        <f>"0000890"</f>
        <v>0000890</v>
      </c>
      <c r="G565">
        <v>1</v>
      </c>
      <c r="H565" t="str">
        <f>"00000000"</f>
        <v>00000000</v>
      </c>
      <c r="I565" t="s">
        <v>35</v>
      </c>
      <c r="J565"/>
      <c r="K565">
        <v>4.41</v>
      </c>
      <c r="L565">
        <v>0.0</v>
      </c>
      <c r="M565"/>
      <c r="N565"/>
      <c r="O565">
        <v>0.79</v>
      </c>
      <c r="P565">
        <v>0.0</v>
      </c>
      <c r="Q565">
        <v>5.2</v>
      </c>
      <c r="R565"/>
      <c r="S565"/>
      <c r="T565"/>
      <c r="U565"/>
      <c r="V565"/>
      <c r="W565">
        <v>18</v>
      </c>
    </row>
    <row r="566" spans="1:23">
      <c r="A566"/>
      <c r="B566" t="s">
        <v>48</v>
      </c>
      <c r="C566" t="s">
        <v>48</v>
      </c>
      <c r="D566" t="s">
        <v>33</v>
      </c>
      <c r="E566" t="s">
        <v>34</v>
      </c>
      <c r="F566" t="str">
        <f>"0000891"</f>
        <v>0000891</v>
      </c>
      <c r="G566">
        <v>1</v>
      </c>
      <c r="H566" t="str">
        <f>"00000000"</f>
        <v>00000000</v>
      </c>
      <c r="I566" t="s">
        <v>35</v>
      </c>
      <c r="J566"/>
      <c r="K566">
        <v>15.25</v>
      </c>
      <c r="L566">
        <v>0.0</v>
      </c>
      <c r="M566"/>
      <c r="N566"/>
      <c r="O566">
        <v>2.75</v>
      </c>
      <c r="P566">
        <v>0.0</v>
      </c>
      <c r="Q566">
        <v>18.0</v>
      </c>
      <c r="R566"/>
      <c r="S566"/>
      <c r="T566"/>
      <c r="U566"/>
      <c r="V566"/>
      <c r="W566">
        <v>18</v>
      </c>
    </row>
    <row r="567" spans="1:23">
      <c r="A567"/>
      <c r="B567" t="s">
        <v>48</v>
      </c>
      <c r="C567" t="s">
        <v>48</v>
      </c>
      <c r="D567" t="s">
        <v>33</v>
      </c>
      <c r="E567" t="s">
        <v>34</v>
      </c>
      <c r="F567" t="str">
        <f>"0000892"</f>
        <v>0000892</v>
      </c>
      <c r="G567">
        <v>1</v>
      </c>
      <c r="H567" t="str">
        <f>"00000000"</f>
        <v>00000000</v>
      </c>
      <c r="I567" t="s">
        <v>35</v>
      </c>
      <c r="J567"/>
      <c r="K567">
        <v>31.43</v>
      </c>
      <c r="L567">
        <v>0.0</v>
      </c>
      <c r="M567"/>
      <c r="N567"/>
      <c r="O567">
        <v>5.66</v>
      </c>
      <c r="P567">
        <v>0.2</v>
      </c>
      <c r="Q567">
        <v>37.29</v>
      </c>
      <c r="R567"/>
      <c r="S567"/>
      <c r="T567"/>
      <c r="U567"/>
      <c r="V567"/>
      <c r="W567">
        <v>18</v>
      </c>
    </row>
    <row r="568" spans="1:23">
      <c r="A568"/>
      <c r="B568" t="s">
        <v>48</v>
      </c>
      <c r="C568" t="s">
        <v>48</v>
      </c>
      <c r="D568" t="s">
        <v>33</v>
      </c>
      <c r="E568" t="s">
        <v>34</v>
      </c>
      <c r="F568" t="str">
        <f>"0000893"</f>
        <v>0000893</v>
      </c>
      <c r="G568">
        <v>1</v>
      </c>
      <c r="H568" t="str">
        <f>"00000000"</f>
        <v>00000000</v>
      </c>
      <c r="I568" t="s">
        <v>35</v>
      </c>
      <c r="J568"/>
      <c r="K568">
        <v>25.05</v>
      </c>
      <c r="L568">
        <v>0.0</v>
      </c>
      <c r="M568"/>
      <c r="N568"/>
      <c r="O568">
        <v>4.51</v>
      </c>
      <c r="P568">
        <v>0.2</v>
      </c>
      <c r="Q568">
        <v>29.76</v>
      </c>
      <c r="R568"/>
      <c r="S568"/>
      <c r="T568"/>
      <c r="U568"/>
      <c r="V568"/>
      <c r="W568">
        <v>18</v>
      </c>
    </row>
    <row r="569" spans="1:23">
      <c r="A569"/>
      <c r="B569" t="s">
        <v>48</v>
      </c>
      <c r="C569" t="s">
        <v>48</v>
      </c>
      <c r="D569" t="s">
        <v>33</v>
      </c>
      <c r="E569" t="s">
        <v>34</v>
      </c>
      <c r="F569" t="str">
        <f>"0000894"</f>
        <v>0000894</v>
      </c>
      <c r="G569">
        <v>1</v>
      </c>
      <c r="H569" t="str">
        <f>"00000000"</f>
        <v>00000000</v>
      </c>
      <c r="I569" t="s">
        <v>35</v>
      </c>
      <c r="J569"/>
      <c r="K569">
        <v>7.36</v>
      </c>
      <c r="L569">
        <v>0.0</v>
      </c>
      <c r="M569"/>
      <c r="N569"/>
      <c r="O569">
        <v>1.33</v>
      </c>
      <c r="P569">
        <v>0.0</v>
      </c>
      <c r="Q569">
        <v>8.69</v>
      </c>
      <c r="R569"/>
      <c r="S569"/>
      <c r="T569"/>
      <c r="U569"/>
      <c r="V569"/>
      <c r="W569">
        <v>18</v>
      </c>
    </row>
    <row r="570" spans="1:23">
      <c r="A570"/>
      <c r="B570" t="s">
        <v>48</v>
      </c>
      <c r="C570" t="s">
        <v>48</v>
      </c>
      <c r="D570" t="s">
        <v>33</v>
      </c>
      <c r="E570" t="s">
        <v>34</v>
      </c>
      <c r="F570" t="str">
        <f>"0000895"</f>
        <v>0000895</v>
      </c>
      <c r="G570">
        <v>1</v>
      </c>
      <c r="H570" t="str">
        <f>"00000000"</f>
        <v>00000000</v>
      </c>
      <c r="I570" t="s">
        <v>35</v>
      </c>
      <c r="J570"/>
      <c r="K570">
        <v>0.08</v>
      </c>
      <c r="L570">
        <v>0.0</v>
      </c>
      <c r="M570"/>
      <c r="N570"/>
      <c r="O570">
        <v>0.02</v>
      </c>
      <c r="P570">
        <v>0.2</v>
      </c>
      <c r="Q570">
        <v>0.3</v>
      </c>
      <c r="R570"/>
      <c r="S570"/>
      <c r="T570"/>
      <c r="U570"/>
      <c r="V570"/>
      <c r="W570">
        <v>18</v>
      </c>
    </row>
    <row r="571" spans="1:23">
      <c r="A571"/>
      <c r="B571" t="s">
        <v>48</v>
      </c>
      <c r="C571" t="s">
        <v>48</v>
      </c>
      <c r="D571" t="s">
        <v>33</v>
      </c>
      <c r="E571" t="s">
        <v>34</v>
      </c>
      <c r="F571" t="str">
        <f>"0000896"</f>
        <v>0000896</v>
      </c>
      <c r="G571">
        <v>1</v>
      </c>
      <c r="H571" t="str">
        <f>"00000000"</f>
        <v>00000000</v>
      </c>
      <c r="I571" t="s">
        <v>35</v>
      </c>
      <c r="J571"/>
      <c r="K571">
        <v>7.71</v>
      </c>
      <c r="L571">
        <v>0.0</v>
      </c>
      <c r="M571"/>
      <c r="N571"/>
      <c r="O571">
        <v>1.39</v>
      </c>
      <c r="P571">
        <v>0.0</v>
      </c>
      <c r="Q571">
        <v>9.1</v>
      </c>
      <c r="R571"/>
      <c r="S571"/>
      <c r="T571"/>
      <c r="U571"/>
      <c r="V571"/>
      <c r="W571">
        <v>18</v>
      </c>
    </row>
    <row r="572" spans="1:23">
      <c r="A572"/>
      <c r="B572" t="s">
        <v>48</v>
      </c>
      <c r="C572" t="s">
        <v>48</v>
      </c>
      <c r="D572" t="s">
        <v>33</v>
      </c>
      <c r="E572" t="s">
        <v>34</v>
      </c>
      <c r="F572" t="str">
        <f>"0000897"</f>
        <v>0000897</v>
      </c>
      <c r="G572">
        <v>1</v>
      </c>
      <c r="H572" t="str">
        <f>"00000000"</f>
        <v>00000000</v>
      </c>
      <c r="I572" t="s">
        <v>35</v>
      </c>
      <c r="J572"/>
      <c r="K572">
        <v>23.43</v>
      </c>
      <c r="L572">
        <v>0.0</v>
      </c>
      <c r="M572"/>
      <c r="N572"/>
      <c r="O572">
        <v>4.22</v>
      </c>
      <c r="P572">
        <v>0.2</v>
      </c>
      <c r="Q572">
        <v>27.85</v>
      </c>
      <c r="R572"/>
      <c r="S572"/>
      <c r="T572"/>
      <c r="U572"/>
      <c r="V572"/>
      <c r="W572">
        <v>18</v>
      </c>
    </row>
    <row r="573" spans="1:23">
      <c r="A573"/>
      <c r="B573" t="s">
        <v>48</v>
      </c>
      <c r="C573" t="s">
        <v>48</v>
      </c>
      <c r="D573" t="s">
        <v>33</v>
      </c>
      <c r="E573" t="s">
        <v>34</v>
      </c>
      <c r="F573" t="str">
        <f>"0000898"</f>
        <v>0000898</v>
      </c>
      <c r="G573">
        <v>1</v>
      </c>
      <c r="H573" t="str">
        <f>"00000000"</f>
        <v>00000000</v>
      </c>
      <c r="I573" t="s">
        <v>35</v>
      </c>
      <c r="J573"/>
      <c r="K573">
        <v>34.24</v>
      </c>
      <c r="L573">
        <v>0.0</v>
      </c>
      <c r="M573"/>
      <c r="N573"/>
      <c r="O573">
        <v>6.16</v>
      </c>
      <c r="P573">
        <v>0.0</v>
      </c>
      <c r="Q573">
        <v>40.4</v>
      </c>
      <c r="R573"/>
      <c r="S573"/>
      <c r="T573"/>
      <c r="U573"/>
      <c r="V573"/>
      <c r="W573">
        <v>18</v>
      </c>
    </row>
    <row r="574" spans="1:23">
      <c r="A574"/>
      <c r="B574" t="s">
        <v>48</v>
      </c>
      <c r="C574" t="s">
        <v>48</v>
      </c>
      <c r="D574" t="s">
        <v>33</v>
      </c>
      <c r="E574" t="s">
        <v>34</v>
      </c>
      <c r="F574" t="str">
        <f>"0000899"</f>
        <v>0000899</v>
      </c>
      <c r="G574">
        <v>1</v>
      </c>
      <c r="H574" t="str">
        <f>"00000000"</f>
        <v>00000000</v>
      </c>
      <c r="I574" t="s">
        <v>35</v>
      </c>
      <c r="J574"/>
      <c r="K574">
        <v>4.83</v>
      </c>
      <c r="L574">
        <v>0.0</v>
      </c>
      <c r="M574"/>
      <c r="N574"/>
      <c r="O574">
        <v>0.87</v>
      </c>
      <c r="P574">
        <v>0.0</v>
      </c>
      <c r="Q574">
        <v>5.7</v>
      </c>
      <c r="R574"/>
      <c r="S574"/>
      <c r="T574"/>
      <c r="U574"/>
      <c r="V574"/>
      <c r="W574">
        <v>18</v>
      </c>
    </row>
    <row r="575" spans="1:23">
      <c r="A575"/>
      <c r="B575" t="s">
        <v>48</v>
      </c>
      <c r="C575" t="s">
        <v>48</v>
      </c>
      <c r="D575" t="s">
        <v>33</v>
      </c>
      <c r="E575" t="s">
        <v>34</v>
      </c>
      <c r="F575" t="str">
        <f>"0000900"</f>
        <v>0000900</v>
      </c>
      <c r="G575">
        <v>1</v>
      </c>
      <c r="H575" t="str">
        <f>"00000000"</f>
        <v>00000000</v>
      </c>
      <c r="I575" t="s">
        <v>35</v>
      </c>
      <c r="J575"/>
      <c r="K575">
        <v>9.66</v>
      </c>
      <c r="L575">
        <v>0.0</v>
      </c>
      <c r="M575"/>
      <c r="N575"/>
      <c r="O575">
        <v>1.74</v>
      </c>
      <c r="P575">
        <v>0.0</v>
      </c>
      <c r="Q575">
        <v>11.4</v>
      </c>
      <c r="R575"/>
      <c r="S575"/>
      <c r="T575"/>
      <c r="U575"/>
      <c r="V575"/>
      <c r="W575">
        <v>18</v>
      </c>
    </row>
    <row r="576" spans="1:23">
      <c r="A576"/>
      <c r="B576" t="s">
        <v>48</v>
      </c>
      <c r="C576" t="s">
        <v>48</v>
      </c>
      <c r="D576" t="s">
        <v>33</v>
      </c>
      <c r="E576" t="s">
        <v>34</v>
      </c>
      <c r="F576" t="str">
        <f>"0000901"</f>
        <v>0000901</v>
      </c>
      <c r="G576">
        <v>1</v>
      </c>
      <c r="H576" t="str">
        <f>"00000000"</f>
        <v>00000000</v>
      </c>
      <c r="I576" t="s">
        <v>35</v>
      </c>
      <c r="J576"/>
      <c r="K576">
        <v>0.08</v>
      </c>
      <c r="L576">
        <v>0.0</v>
      </c>
      <c r="M576"/>
      <c r="N576"/>
      <c r="O576">
        <v>0.02</v>
      </c>
      <c r="P576">
        <v>0.2</v>
      </c>
      <c r="Q576">
        <v>0.3</v>
      </c>
      <c r="R576"/>
      <c r="S576"/>
      <c r="T576"/>
      <c r="U576"/>
      <c r="V576"/>
      <c r="W576">
        <v>18</v>
      </c>
    </row>
    <row r="577" spans="1:23">
      <c r="A577"/>
      <c r="B577" t="s">
        <v>48</v>
      </c>
      <c r="C577" t="s">
        <v>48</v>
      </c>
      <c r="D577" t="s">
        <v>33</v>
      </c>
      <c r="E577" t="s">
        <v>34</v>
      </c>
      <c r="F577" t="str">
        <f>"0000902"</f>
        <v>0000902</v>
      </c>
      <c r="G577">
        <v>1</v>
      </c>
      <c r="H577" t="str">
        <f>"00000000"</f>
        <v>00000000</v>
      </c>
      <c r="I577" t="s">
        <v>35</v>
      </c>
      <c r="J577"/>
      <c r="K577">
        <v>5.93</v>
      </c>
      <c r="L577">
        <v>0.0</v>
      </c>
      <c r="M577"/>
      <c r="N577"/>
      <c r="O577">
        <v>1.07</v>
      </c>
      <c r="P577">
        <v>0.0</v>
      </c>
      <c r="Q577">
        <v>7.0</v>
      </c>
      <c r="R577"/>
      <c r="S577"/>
      <c r="T577"/>
      <c r="U577"/>
      <c r="V577"/>
      <c r="W577">
        <v>18</v>
      </c>
    </row>
    <row r="578" spans="1:23">
      <c r="A578"/>
      <c r="B578" t="s">
        <v>48</v>
      </c>
      <c r="C578" t="s">
        <v>48</v>
      </c>
      <c r="D578" t="s">
        <v>36</v>
      </c>
      <c r="E578" t="s">
        <v>37</v>
      </c>
      <c r="F578" t="str">
        <f>"0000021"</f>
        <v>0000021</v>
      </c>
      <c r="G578">
        <v>6</v>
      </c>
      <c r="H578" t="str">
        <f>"10258590207"</f>
        <v>10258590207</v>
      </c>
      <c r="I578" t="s">
        <v>49</v>
      </c>
      <c r="J578"/>
      <c r="K578">
        <v>40.68</v>
      </c>
      <c r="L578">
        <v>0.0</v>
      </c>
      <c r="M578"/>
      <c r="N578"/>
      <c r="O578">
        <v>7.32</v>
      </c>
      <c r="P578">
        <v>0.2</v>
      </c>
      <c r="Q578">
        <v>48.2</v>
      </c>
      <c r="R578"/>
      <c r="S578"/>
      <c r="T578"/>
      <c r="U578"/>
      <c r="V578"/>
      <c r="W578">
        <v>18</v>
      </c>
    </row>
    <row r="579" spans="1:23">
      <c r="A579"/>
      <c r="B579" t="s">
        <v>48</v>
      </c>
      <c r="C579" t="s">
        <v>48</v>
      </c>
      <c r="D579" t="s">
        <v>33</v>
      </c>
      <c r="E579" t="s">
        <v>34</v>
      </c>
      <c r="F579" t="str">
        <f>"0000903"</f>
        <v>0000903</v>
      </c>
      <c r="G579">
        <v>1</v>
      </c>
      <c r="H579" t="str">
        <f>"00000000"</f>
        <v>00000000</v>
      </c>
      <c r="I579" t="s">
        <v>35</v>
      </c>
      <c r="J579"/>
      <c r="K579">
        <v>12.63</v>
      </c>
      <c r="L579">
        <v>0.0</v>
      </c>
      <c r="M579"/>
      <c r="N579"/>
      <c r="O579">
        <v>2.27</v>
      </c>
      <c r="P579">
        <v>0.0</v>
      </c>
      <c r="Q579">
        <v>14.9</v>
      </c>
      <c r="R579"/>
      <c r="S579"/>
      <c r="T579"/>
      <c r="U579"/>
      <c r="V579"/>
      <c r="W579">
        <v>18</v>
      </c>
    </row>
    <row r="580" spans="1:23">
      <c r="A580"/>
      <c r="B580" t="s">
        <v>48</v>
      </c>
      <c r="C580" t="s">
        <v>48</v>
      </c>
      <c r="D580" t="s">
        <v>33</v>
      </c>
      <c r="E580" t="s">
        <v>34</v>
      </c>
      <c r="F580" t="str">
        <f>"0000904"</f>
        <v>0000904</v>
      </c>
      <c r="G580">
        <v>1</v>
      </c>
      <c r="H580" t="str">
        <f>"00000000"</f>
        <v>00000000</v>
      </c>
      <c r="I580" t="s">
        <v>35</v>
      </c>
      <c r="J580"/>
      <c r="K580">
        <v>6.61</v>
      </c>
      <c r="L580">
        <v>0.0</v>
      </c>
      <c r="M580"/>
      <c r="N580"/>
      <c r="O580">
        <v>1.19</v>
      </c>
      <c r="P580">
        <v>0.0</v>
      </c>
      <c r="Q580">
        <v>7.8</v>
      </c>
      <c r="R580"/>
      <c r="S580"/>
      <c r="T580"/>
      <c r="U580"/>
      <c r="V580"/>
      <c r="W580">
        <v>18</v>
      </c>
    </row>
    <row r="581" spans="1:23">
      <c r="A581"/>
      <c r="B581" t="s">
        <v>48</v>
      </c>
      <c r="C581" t="s">
        <v>48</v>
      </c>
      <c r="D581" t="s">
        <v>33</v>
      </c>
      <c r="E581" t="s">
        <v>34</v>
      </c>
      <c r="F581" t="str">
        <f>"0000905"</f>
        <v>0000905</v>
      </c>
      <c r="G581">
        <v>1</v>
      </c>
      <c r="H581" t="str">
        <f>"00000000"</f>
        <v>00000000</v>
      </c>
      <c r="I581" t="s">
        <v>35</v>
      </c>
      <c r="J581"/>
      <c r="K581">
        <v>24.57</v>
      </c>
      <c r="L581">
        <v>0.0</v>
      </c>
      <c r="M581"/>
      <c r="N581"/>
      <c r="O581">
        <v>4.42</v>
      </c>
      <c r="P581">
        <v>0.2</v>
      </c>
      <c r="Q581">
        <v>29.2</v>
      </c>
      <c r="R581"/>
      <c r="S581"/>
      <c r="T581"/>
      <c r="U581"/>
      <c r="V581"/>
      <c r="W581">
        <v>18</v>
      </c>
    </row>
    <row r="582" spans="1:23">
      <c r="A582"/>
      <c r="B582" t="s">
        <v>48</v>
      </c>
      <c r="C582" t="s">
        <v>48</v>
      </c>
      <c r="D582" t="s">
        <v>33</v>
      </c>
      <c r="E582" t="s">
        <v>34</v>
      </c>
      <c r="F582" t="str">
        <f>"0000906"</f>
        <v>0000906</v>
      </c>
      <c r="G582">
        <v>1</v>
      </c>
      <c r="H582" t="str">
        <f>"00000000"</f>
        <v>00000000</v>
      </c>
      <c r="I582" t="s">
        <v>35</v>
      </c>
      <c r="J582"/>
      <c r="K582">
        <v>11.1</v>
      </c>
      <c r="L582">
        <v>0.0</v>
      </c>
      <c r="M582"/>
      <c r="N582"/>
      <c r="O582">
        <v>2.0</v>
      </c>
      <c r="P582">
        <v>0.2</v>
      </c>
      <c r="Q582">
        <v>13.3</v>
      </c>
      <c r="R582"/>
      <c r="S582"/>
      <c r="T582"/>
      <c r="U582"/>
      <c r="V582"/>
      <c r="W582">
        <v>18</v>
      </c>
    </row>
    <row r="583" spans="1:23">
      <c r="A583"/>
      <c r="B583" t="s">
        <v>48</v>
      </c>
      <c r="C583" t="s">
        <v>48</v>
      </c>
      <c r="D583" t="s">
        <v>33</v>
      </c>
      <c r="E583" t="s">
        <v>34</v>
      </c>
      <c r="F583" t="str">
        <f>"0000907"</f>
        <v>0000907</v>
      </c>
      <c r="G583">
        <v>1</v>
      </c>
      <c r="H583" t="str">
        <f>"00000000"</f>
        <v>00000000</v>
      </c>
      <c r="I583" t="s">
        <v>35</v>
      </c>
      <c r="J583"/>
      <c r="K583">
        <v>8.97</v>
      </c>
      <c r="L583">
        <v>0.0</v>
      </c>
      <c r="M583"/>
      <c r="N583"/>
      <c r="O583">
        <v>1.62</v>
      </c>
      <c r="P583">
        <v>0.2</v>
      </c>
      <c r="Q583">
        <v>10.79</v>
      </c>
      <c r="R583"/>
      <c r="S583"/>
      <c r="T583"/>
      <c r="U583"/>
      <c r="V583"/>
      <c r="W583">
        <v>18</v>
      </c>
    </row>
    <row r="584" spans="1:23">
      <c r="A584"/>
      <c r="B584" t="s">
        <v>48</v>
      </c>
      <c r="C584" t="s">
        <v>48</v>
      </c>
      <c r="D584" t="s">
        <v>33</v>
      </c>
      <c r="E584" t="s">
        <v>34</v>
      </c>
      <c r="F584" t="str">
        <f>"0000908"</f>
        <v>0000908</v>
      </c>
      <c r="G584">
        <v>1</v>
      </c>
      <c r="H584" t="str">
        <f>"00000000"</f>
        <v>00000000</v>
      </c>
      <c r="I584" t="s">
        <v>35</v>
      </c>
      <c r="J584"/>
      <c r="K584">
        <v>0.63</v>
      </c>
      <c r="L584">
        <v>0.0</v>
      </c>
      <c r="M584"/>
      <c r="N584"/>
      <c r="O584">
        <v>0.11</v>
      </c>
      <c r="P584">
        <v>0.0</v>
      </c>
      <c r="Q584">
        <v>0.75</v>
      </c>
      <c r="R584"/>
      <c r="S584"/>
      <c r="T584"/>
      <c r="U584"/>
      <c r="V584"/>
      <c r="W584">
        <v>18</v>
      </c>
    </row>
    <row r="585" spans="1:23">
      <c r="A585"/>
      <c r="B585" t="s">
        <v>48</v>
      </c>
      <c r="C585" t="s">
        <v>48</v>
      </c>
      <c r="D585" t="s">
        <v>33</v>
      </c>
      <c r="E585" t="s">
        <v>34</v>
      </c>
      <c r="F585" t="str">
        <f>"0000909"</f>
        <v>0000909</v>
      </c>
      <c r="G585">
        <v>1</v>
      </c>
      <c r="H585" t="str">
        <f>"00000000"</f>
        <v>00000000</v>
      </c>
      <c r="I585" t="s">
        <v>35</v>
      </c>
      <c r="J585"/>
      <c r="K585">
        <v>15.49</v>
      </c>
      <c r="L585">
        <v>0.0</v>
      </c>
      <c r="M585"/>
      <c r="N585"/>
      <c r="O585">
        <v>2.79</v>
      </c>
      <c r="P585">
        <v>0.0</v>
      </c>
      <c r="Q585">
        <v>18.28</v>
      </c>
      <c r="R585"/>
      <c r="S585"/>
      <c r="T585"/>
      <c r="U585"/>
      <c r="V585"/>
      <c r="W585">
        <v>18</v>
      </c>
    </row>
    <row r="586" spans="1:23">
      <c r="A586"/>
      <c r="B586" t="s">
        <v>48</v>
      </c>
      <c r="C586" t="s">
        <v>48</v>
      </c>
      <c r="D586" t="s">
        <v>33</v>
      </c>
      <c r="E586" t="s">
        <v>34</v>
      </c>
      <c r="F586" t="str">
        <f>"0000910"</f>
        <v>0000910</v>
      </c>
      <c r="G586">
        <v>1</v>
      </c>
      <c r="H586" t="str">
        <f>"00000000"</f>
        <v>00000000</v>
      </c>
      <c r="I586" t="s">
        <v>35</v>
      </c>
      <c r="J586"/>
      <c r="K586">
        <v>39.74</v>
      </c>
      <c r="L586">
        <v>0.0</v>
      </c>
      <c r="M586"/>
      <c r="N586"/>
      <c r="O586">
        <v>7.15</v>
      </c>
      <c r="P586">
        <v>0.0</v>
      </c>
      <c r="Q586">
        <v>46.89</v>
      </c>
      <c r="R586"/>
      <c r="S586"/>
      <c r="T586"/>
      <c r="U586"/>
      <c r="V586"/>
      <c r="W586">
        <v>18</v>
      </c>
    </row>
    <row r="587" spans="1:23">
      <c r="A587"/>
      <c r="B587" t="s">
        <v>48</v>
      </c>
      <c r="C587" t="s">
        <v>48</v>
      </c>
      <c r="D587" t="s">
        <v>33</v>
      </c>
      <c r="E587" t="s">
        <v>34</v>
      </c>
      <c r="F587" t="str">
        <f>"0000911"</f>
        <v>0000911</v>
      </c>
      <c r="G587">
        <v>1</v>
      </c>
      <c r="H587" t="str">
        <f>"00000000"</f>
        <v>00000000</v>
      </c>
      <c r="I587" t="s">
        <v>35</v>
      </c>
      <c r="J587"/>
      <c r="K587">
        <v>2.88</v>
      </c>
      <c r="L587">
        <v>0.0</v>
      </c>
      <c r="M587"/>
      <c r="N587"/>
      <c r="O587">
        <v>0.52</v>
      </c>
      <c r="P587">
        <v>0.0</v>
      </c>
      <c r="Q587">
        <v>3.4</v>
      </c>
      <c r="R587"/>
      <c r="S587"/>
      <c r="T587"/>
      <c r="U587"/>
      <c r="V587"/>
      <c r="W587">
        <v>18</v>
      </c>
    </row>
    <row r="588" spans="1:23">
      <c r="A588"/>
      <c r="B588" t="s">
        <v>48</v>
      </c>
      <c r="C588" t="s">
        <v>48</v>
      </c>
      <c r="D588" t="s">
        <v>33</v>
      </c>
      <c r="E588" t="s">
        <v>34</v>
      </c>
      <c r="F588" t="str">
        <f>"0000912"</f>
        <v>0000912</v>
      </c>
      <c r="G588">
        <v>1</v>
      </c>
      <c r="H588" t="str">
        <f>"00000000"</f>
        <v>00000000</v>
      </c>
      <c r="I588" t="s">
        <v>35</v>
      </c>
      <c r="J588"/>
      <c r="K588">
        <v>2.97</v>
      </c>
      <c r="L588">
        <v>0.0</v>
      </c>
      <c r="M588"/>
      <c r="N588"/>
      <c r="O588">
        <v>0.53</v>
      </c>
      <c r="P588">
        <v>0.0</v>
      </c>
      <c r="Q588">
        <v>3.5</v>
      </c>
      <c r="R588"/>
      <c r="S588"/>
      <c r="T588"/>
      <c r="U588"/>
      <c r="V588"/>
      <c r="W588">
        <v>18</v>
      </c>
    </row>
    <row r="589" spans="1:23">
      <c r="A589"/>
      <c r="B589" t="s">
        <v>48</v>
      </c>
      <c r="C589" t="s">
        <v>48</v>
      </c>
      <c r="D589" t="s">
        <v>33</v>
      </c>
      <c r="E589" t="s">
        <v>34</v>
      </c>
      <c r="F589" t="str">
        <f>"0000913"</f>
        <v>0000913</v>
      </c>
      <c r="G589">
        <v>1</v>
      </c>
      <c r="H589" t="str">
        <f>"00000000"</f>
        <v>00000000</v>
      </c>
      <c r="I589" t="s">
        <v>35</v>
      </c>
      <c r="J589"/>
      <c r="K589">
        <v>5.93</v>
      </c>
      <c r="L589">
        <v>0.0</v>
      </c>
      <c r="M589"/>
      <c r="N589"/>
      <c r="O589">
        <v>1.07</v>
      </c>
      <c r="P589">
        <v>0.0</v>
      </c>
      <c r="Q589">
        <v>7.0</v>
      </c>
      <c r="R589"/>
      <c r="S589"/>
      <c r="T589"/>
      <c r="U589"/>
      <c r="V589"/>
      <c r="W589">
        <v>18</v>
      </c>
    </row>
    <row r="590" spans="1:23">
      <c r="A590"/>
      <c r="B590" t="s">
        <v>48</v>
      </c>
      <c r="C590" t="s">
        <v>48</v>
      </c>
      <c r="D590" t="s">
        <v>33</v>
      </c>
      <c r="E590" t="s">
        <v>34</v>
      </c>
      <c r="F590" t="str">
        <f>"0000914"</f>
        <v>0000914</v>
      </c>
      <c r="G590">
        <v>1</v>
      </c>
      <c r="H590" t="str">
        <f>"00000000"</f>
        <v>00000000</v>
      </c>
      <c r="I590" t="s">
        <v>35</v>
      </c>
      <c r="J590"/>
      <c r="K590">
        <v>2.12</v>
      </c>
      <c r="L590">
        <v>0.0</v>
      </c>
      <c r="M590"/>
      <c r="N590"/>
      <c r="O590">
        <v>0.38</v>
      </c>
      <c r="P590">
        <v>0.0</v>
      </c>
      <c r="Q590">
        <v>2.5</v>
      </c>
      <c r="R590"/>
      <c r="S590"/>
      <c r="T590"/>
      <c r="U590"/>
      <c r="V590"/>
      <c r="W590">
        <v>18</v>
      </c>
    </row>
    <row r="591" spans="1:23">
      <c r="A591"/>
      <c r="B591" t="s">
        <v>48</v>
      </c>
      <c r="C591" t="s">
        <v>48</v>
      </c>
      <c r="D591" t="s">
        <v>33</v>
      </c>
      <c r="E591" t="s">
        <v>34</v>
      </c>
      <c r="F591" t="str">
        <f>"0000915"</f>
        <v>0000915</v>
      </c>
      <c r="G591">
        <v>1</v>
      </c>
      <c r="H591" t="str">
        <f>"00000000"</f>
        <v>00000000</v>
      </c>
      <c r="I591" t="s">
        <v>35</v>
      </c>
      <c r="J591"/>
      <c r="K591">
        <v>5.08</v>
      </c>
      <c r="L591">
        <v>0.0</v>
      </c>
      <c r="M591"/>
      <c r="N591"/>
      <c r="O591">
        <v>0.92</v>
      </c>
      <c r="P591">
        <v>0.0</v>
      </c>
      <c r="Q591">
        <v>6.0</v>
      </c>
      <c r="R591"/>
      <c r="S591"/>
      <c r="T591"/>
      <c r="U591"/>
      <c r="V591"/>
      <c r="W591">
        <v>18</v>
      </c>
    </row>
    <row r="592" spans="1:23">
      <c r="A592"/>
      <c r="B592" t="s">
        <v>48</v>
      </c>
      <c r="C592" t="s">
        <v>48</v>
      </c>
      <c r="D592" t="s">
        <v>33</v>
      </c>
      <c r="E592" t="s">
        <v>34</v>
      </c>
      <c r="F592" t="str">
        <f>"0000916"</f>
        <v>0000916</v>
      </c>
      <c r="G592">
        <v>1</v>
      </c>
      <c r="H592" t="str">
        <f>"00000000"</f>
        <v>00000000</v>
      </c>
      <c r="I592" t="s">
        <v>35</v>
      </c>
      <c r="J592"/>
      <c r="K592">
        <v>9.16</v>
      </c>
      <c r="L592">
        <v>0.0</v>
      </c>
      <c r="M592"/>
      <c r="N592"/>
      <c r="O592">
        <v>1.65</v>
      </c>
      <c r="P592">
        <v>0.0</v>
      </c>
      <c r="Q592">
        <v>10.8</v>
      </c>
      <c r="R592"/>
      <c r="S592"/>
      <c r="T592"/>
      <c r="U592"/>
      <c r="V592"/>
      <c r="W592">
        <v>18</v>
      </c>
    </row>
    <row r="593" spans="1:23">
      <c r="A593"/>
      <c r="B593" t="s">
        <v>48</v>
      </c>
      <c r="C593" t="s">
        <v>48</v>
      </c>
      <c r="D593" t="s">
        <v>33</v>
      </c>
      <c r="E593" t="s">
        <v>34</v>
      </c>
      <c r="F593" t="str">
        <f>"0000917"</f>
        <v>0000917</v>
      </c>
      <c r="G593">
        <v>1</v>
      </c>
      <c r="H593" t="str">
        <f>"00000000"</f>
        <v>00000000</v>
      </c>
      <c r="I593" t="s">
        <v>35</v>
      </c>
      <c r="J593"/>
      <c r="K593">
        <v>13.98</v>
      </c>
      <c r="L593">
        <v>0.0</v>
      </c>
      <c r="M593"/>
      <c r="N593"/>
      <c r="O593">
        <v>2.52</v>
      </c>
      <c r="P593">
        <v>0.0</v>
      </c>
      <c r="Q593">
        <v>16.5</v>
      </c>
      <c r="R593"/>
      <c r="S593"/>
      <c r="T593"/>
      <c r="U593"/>
      <c r="V593"/>
      <c r="W593">
        <v>18</v>
      </c>
    </row>
    <row r="594" spans="1:23">
      <c r="A594"/>
      <c r="B594" t="s">
        <v>48</v>
      </c>
      <c r="C594" t="s">
        <v>48</v>
      </c>
      <c r="D594" t="s">
        <v>33</v>
      </c>
      <c r="E594" t="s">
        <v>34</v>
      </c>
      <c r="F594" t="str">
        <f>"0000918"</f>
        <v>0000918</v>
      </c>
      <c r="G594">
        <v>1</v>
      </c>
      <c r="H594" t="str">
        <f>"00000000"</f>
        <v>00000000</v>
      </c>
      <c r="I594" t="s">
        <v>35</v>
      </c>
      <c r="J594"/>
      <c r="K594">
        <v>9.66</v>
      </c>
      <c r="L594">
        <v>0.0</v>
      </c>
      <c r="M594"/>
      <c r="N594"/>
      <c r="O594">
        <v>1.74</v>
      </c>
      <c r="P594">
        <v>0.0</v>
      </c>
      <c r="Q594">
        <v>11.4</v>
      </c>
      <c r="R594"/>
      <c r="S594"/>
      <c r="T594"/>
      <c r="U594"/>
      <c r="V594"/>
      <c r="W594">
        <v>18</v>
      </c>
    </row>
    <row r="595" spans="1:23">
      <c r="A595"/>
      <c r="B595" t="s">
        <v>48</v>
      </c>
      <c r="C595" t="s">
        <v>48</v>
      </c>
      <c r="D595" t="s">
        <v>33</v>
      </c>
      <c r="E595" t="s">
        <v>34</v>
      </c>
      <c r="F595" t="str">
        <f>"0000919"</f>
        <v>0000919</v>
      </c>
      <c r="G595">
        <v>1</v>
      </c>
      <c r="H595" t="str">
        <f>"00000000"</f>
        <v>00000000</v>
      </c>
      <c r="I595" t="s">
        <v>35</v>
      </c>
      <c r="J595"/>
      <c r="K595">
        <v>1.63</v>
      </c>
      <c r="L595">
        <v>0.0</v>
      </c>
      <c r="M595"/>
      <c r="N595"/>
      <c r="O595">
        <v>0.29</v>
      </c>
      <c r="P595">
        <v>0.0</v>
      </c>
      <c r="Q595">
        <v>1.93</v>
      </c>
      <c r="R595"/>
      <c r="S595"/>
      <c r="T595"/>
      <c r="U595"/>
      <c r="V595"/>
      <c r="W595">
        <v>18</v>
      </c>
    </row>
    <row r="596" spans="1:23">
      <c r="A596"/>
      <c r="B596" t="s">
        <v>48</v>
      </c>
      <c r="C596" t="s">
        <v>48</v>
      </c>
      <c r="D596" t="s">
        <v>33</v>
      </c>
      <c r="E596" t="s">
        <v>34</v>
      </c>
      <c r="F596" t="str">
        <f>"0000920"</f>
        <v>0000920</v>
      </c>
      <c r="G596">
        <v>1</v>
      </c>
      <c r="H596" t="str">
        <f>"00000000"</f>
        <v>00000000</v>
      </c>
      <c r="I596" t="s">
        <v>35</v>
      </c>
      <c r="J596"/>
      <c r="K596">
        <v>1.61</v>
      </c>
      <c r="L596">
        <v>0.0</v>
      </c>
      <c r="M596"/>
      <c r="N596"/>
      <c r="O596">
        <v>0.29</v>
      </c>
      <c r="P596">
        <v>0.0</v>
      </c>
      <c r="Q596">
        <v>1.9</v>
      </c>
      <c r="R596"/>
      <c r="S596"/>
      <c r="T596"/>
      <c r="U596"/>
      <c r="V596"/>
      <c r="W596">
        <v>18</v>
      </c>
    </row>
    <row r="597" spans="1:23">
      <c r="A597"/>
      <c r="B597" t="s">
        <v>48</v>
      </c>
      <c r="C597" t="s">
        <v>48</v>
      </c>
      <c r="D597" t="s">
        <v>33</v>
      </c>
      <c r="E597" t="s">
        <v>34</v>
      </c>
      <c r="F597" t="str">
        <f>"0000921"</f>
        <v>0000921</v>
      </c>
      <c r="G597">
        <v>1</v>
      </c>
      <c r="H597" t="str">
        <f>"00000000"</f>
        <v>00000000</v>
      </c>
      <c r="I597" t="s">
        <v>35</v>
      </c>
      <c r="J597"/>
      <c r="K597">
        <v>1.27</v>
      </c>
      <c r="L597">
        <v>0.0</v>
      </c>
      <c r="M597"/>
      <c r="N597"/>
      <c r="O597">
        <v>0.23</v>
      </c>
      <c r="P597">
        <v>0.0</v>
      </c>
      <c r="Q597">
        <v>1.5</v>
      </c>
      <c r="R597"/>
      <c r="S597"/>
      <c r="T597"/>
      <c r="U597"/>
      <c r="V597"/>
      <c r="W597">
        <v>18</v>
      </c>
    </row>
    <row r="598" spans="1:23">
      <c r="A598"/>
      <c r="B598" t="s">
        <v>48</v>
      </c>
      <c r="C598" t="s">
        <v>48</v>
      </c>
      <c r="D598" t="s">
        <v>33</v>
      </c>
      <c r="E598" t="s">
        <v>34</v>
      </c>
      <c r="F598" t="str">
        <f>"0000922"</f>
        <v>0000922</v>
      </c>
      <c r="G598">
        <v>1</v>
      </c>
      <c r="H598" t="str">
        <f>"00000000"</f>
        <v>00000000</v>
      </c>
      <c r="I598" t="s">
        <v>35</v>
      </c>
      <c r="J598"/>
      <c r="K598">
        <v>1.31</v>
      </c>
      <c r="L598">
        <v>0.0</v>
      </c>
      <c r="M598"/>
      <c r="N598"/>
      <c r="O598">
        <v>0.23</v>
      </c>
      <c r="P598">
        <v>0.0</v>
      </c>
      <c r="Q598">
        <v>1.54</v>
      </c>
      <c r="R598"/>
      <c r="S598"/>
      <c r="T598"/>
      <c r="U598"/>
      <c r="V598"/>
      <c r="W598">
        <v>18</v>
      </c>
    </row>
    <row r="599" spans="1:23">
      <c r="A599"/>
      <c r="B599" t="s">
        <v>48</v>
      </c>
      <c r="C599" t="s">
        <v>48</v>
      </c>
      <c r="D599" t="s">
        <v>33</v>
      </c>
      <c r="E599" t="s">
        <v>34</v>
      </c>
      <c r="F599" t="str">
        <f>"0000923"</f>
        <v>0000923</v>
      </c>
      <c r="G599">
        <v>1</v>
      </c>
      <c r="H599" t="str">
        <f>"00000000"</f>
        <v>00000000</v>
      </c>
      <c r="I599" t="s">
        <v>35</v>
      </c>
      <c r="J599"/>
      <c r="K599">
        <v>24.83</v>
      </c>
      <c r="L599">
        <v>0.0</v>
      </c>
      <c r="M599"/>
      <c r="N599"/>
      <c r="O599">
        <v>4.47</v>
      </c>
      <c r="P599">
        <v>0.2</v>
      </c>
      <c r="Q599">
        <v>29.5</v>
      </c>
      <c r="R599"/>
      <c r="S599"/>
      <c r="T599"/>
      <c r="U599"/>
      <c r="V599"/>
      <c r="W599">
        <v>18</v>
      </c>
    </row>
    <row r="600" spans="1:23">
      <c r="A600"/>
      <c r="B600" t="s">
        <v>48</v>
      </c>
      <c r="C600" t="s">
        <v>48</v>
      </c>
      <c r="D600" t="s">
        <v>33</v>
      </c>
      <c r="E600" t="s">
        <v>34</v>
      </c>
      <c r="F600" t="str">
        <f>"0000924"</f>
        <v>0000924</v>
      </c>
      <c r="G600">
        <v>1</v>
      </c>
      <c r="H600" t="str">
        <f>"00000000"</f>
        <v>00000000</v>
      </c>
      <c r="I600" t="s">
        <v>35</v>
      </c>
      <c r="J600"/>
      <c r="K600">
        <v>15.59</v>
      </c>
      <c r="L600">
        <v>0.0</v>
      </c>
      <c r="M600"/>
      <c r="N600"/>
      <c r="O600">
        <v>2.81</v>
      </c>
      <c r="P600">
        <v>0.0</v>
      </c>
      <c r="Q600">
        <v>18.4</v>
      </c>
      <c r="R600"/>
      <c r="S600"/>
      <c r="T600"/>
      <c r="U600"/>
      <c r="V600"/>
      <c r="W600">
        <v>18</v>
      </c>
    </row>
    <row r="601" spans="1:23">
      <c r="A601"/>
      <c r="B601" t="s">
        <v>48</v>
      </c>
      <c r="C601" t="s">
        <v>48</v>
      </c>
      <c r="D601" t="s">
        <v>33</v>
      </c>
      <c r="E601" t="s">
        <v>34</v>
      </c>
      <c r="F601" t="str">
        <f>"0000925"</f>
        <v>0000925</v>
      </c>
      <c r="G601">
        <v>1</v>
      </c>
      <c r="H601" t="str">
        <f>"00000000"</f>
        <v>00000000</v>
      </c>
      <c r="I601" t="s">
        <v>35</v>
      </c>
      <c r="J601"/>
      <c r="K601">
        <v>2.97</v>
      </c>
      <c r="L601">
        <v>0.0</v>
      </c>
      <c r="M601"/>
      <c r="N601"/>
      <c r="O601">
        <v>0.54</v>
      </c>
      <c r="P601">
        <v>0.0</v>
      </c>
      <c r="Q601">
        <v>3.51</v>
      </c>
      <c r="R601"/>
      <c r="S601"/>
      <c r="T601"/>
      <c r="U601"/>
      <c r="V601"/>
      <c r="W601">
        <v>18</v>
      </c>
    </row>
    <row r="602" spans="1:23">
      <c r="A602"/>
      <c r="B602" t="s">
        <v>48</v>
      </c>
      <c r="C602" t="s">
        <v>48</v>
      </c>
      <c r="D602" t="s">
        <v>33</v>
      </c>
      <c r="E602" t="s">
        <v>34</v>
      </c>
      <c r="F602" t="str">
        <f>"0000926"</f>
        <v>0000926</v>
      </c>
      <c r="G602">
        <v>1</v>
      </c>
      <c r="H602" t="str">
        <f>"00000000"</f>
        <v>00000000</v>
      </c>
      <c r="I602" t="s">
        <v>35</v>
      </c>
      <c r="J602"/>
      <c r="K602">
        <v>11.21</v>
      </c>
      <c r="L602">
        <v>0.0</v>
      </c>
      <c r="M602"/>
      <c r="N602"/>
      <c r="O602">
        <v>2.02</v>
      </c>
      <c r="P602">
        <v>0.2</v>
      </c>
      <c r="Q602">
        <v>13.43</v>
      </c>
      <c r="R602"/>
      <c r="S602"/>
      <c r="T602"/>
      <c r="U602"/>
      <c r="V602"/>
      <c r="W602">
        <v>18</v>
      </c>
    </row>
    <row r="603" spans="1:23">
      <c r="A603"/>
      <c r="B603" t="s">
        <v>48</v>
      </c>
      <c r="C603" t="s">
        <v>48</v>
      </c>
      <c r="D603" t="s">
        <v>33</v>
      </c>
      <c r="E603" t="s">
        <v>34</v>
      </c>
      <c r="F603" t="str">
        <f>"0000927"</f>
        <v>0000927</v>
      </c>
      <c r="G603">
        <v>1</v>
      </c>
      <c r="H603" t="str">
        <f>"00000000"</f>
        <v>00000000</v>
      </c>
      <c r="I603" t="s">
        <v>35</v>
      </c>
      <c r="J603"/>
      <c r="K603">
        <v>2.53</v>
      </c>
      <c r="L603">
        <v>0.0</v>
      </c>
      <c r="M603"/>
      <c r="N603"/>
      <c r="O603">
        <v>0.46</v>
      </c>
      <c r="P603">
        <v>0.0</v>
      </c>
      <c r="Q603">
        <v>2.99</v>
      </c>
      <c r="R603"/>
      <c r="S603"/>
      <c r="T603"/>
      <c r="U603"/>
      <c r="V603"/>
      <c r="W603">
        <v>18</v>
      </c>
    </row>
    <row r="604" spans="1:23">
      <c r="A604"/>
      <c r="B604" t="s">
        <v>48</v>
      </c>
      <c r="C604" t="s">
        <v>48</v>
      </c>
      <c r="D604" t="s">
        <v>33</v>
      </c>
      <c r="E604" t="s">
        <v>34</v>
      </c>
      <c r="F604" t="str">
        <f>"0000928"</f>
        <v>0000928</v>
      </c>
      <c r="G604">
        <v>1</v>
      </c>
      <c r="H604" t="str">
        <f>"00000000"</f>
        <v>00000000</v>
      </c>
      <c r="I604" t="s">
        <v>35</v>
      </c>
      <c r="J604"/>
      <c r="K604">
        <v>9.32</v>
      </c>
      <c r="L604">
        <v>0.0</v>
      </c>
      <c r="M604"/>
      <c r="N604"/>
      <c r="O604">
        <v>1.68</v>
      </c>
      <c r="P604">
        <v>0.0</v>
      </c>
      <c r="Q604">
        <v>11.0</v>
      </c>
      <c r="R604"/>
      <c r="S604"/>
      <c r="T604"/>
      <c r="U604"/>
      <c r="V604"/>
      <c r="W604">
        <v>18</v>
      </c>
    </row>
    <row r="605" spans="1:23">
      <c r="A605"/>
      <c r="B605" t="s">
        <v>48</v>
      </c>
      <c r="C605" t="s">
        <v>48</v>
      </c>
      <c r="D605" t="s">
        <v>33</v>
      </c>
      <c r="E605" t="s">
        <v>34</v>
      </c>
      <c r="F605" t="str">
        <f>"0000929"</f>
        <v>0000929</v>
      </c>
      <c r="G605">
        <v>1</v>
      </c>
      <c r="H605" t="str">
        <f>"00000000"</f>
        <v>00000000</v>
      </c>
      <c r="I605" t="s">
        <v>35</v>
      </c>
      <c r="J605"/>
      <c r="K605">
        <v>2.71</v>
      </c>
      <c r="L605">
        <v>0.0</v>
      </c>
      <c r="M605"/>
      <c r="N605"/>
      <c r="O605">
        <v>0.49</v>
      </c>
      <c r="P605">
        <v>0.0</v>
      </c>
      <c r="Q605">
        <v>3.2</v>
      </c>
      <c r="R605"/>
      <c r="S605"/>
      <c r="T605"/>
      <c r="U605"/>
      <c r="V605"/>
      <c r="W605">
        <v>18</v>
      </c>
    </row>
    <row r="606" spans="1:23">
      <c r="A606"/>
      <c r="B606" t="s">
        <v>48</v>
      </c>
      <c r="C606" t="s">
        <v>48</v>
      </c>
      <c r="D606" t="s">
        <v>33</v>
      </c>
      <c r="E606" t="s">
        <v>34</v>
      </c>
      <c r="F606" t="str">
        <f>"0000930"</f>
        <v>0000930</v>
      </c>
      <c r="G606">
        <v>1</v>
      </c>
      <c r="H606" t="str">
        <f>"00000000"</f>
        <v>00000000</v>
      </c>
      <c r="I606" t="s">
        <v>35</v>
      </c>
      <c r="J606"/>
      <c r="K606">
        <v>1.39</v>
      </c>
      <c r="L606">
        <v>0.0</v>
      </c>
      <c r="M606"/>
      <c r="N606"/>
      <c r="O606">
        <v>0.25</v>
      </c>
      <c r="P606">
        <v>0.0</v>
      </c>
      <c r="Q606">
        <v>1.64</v>
      </c>
      <c r="R606"/>
      <c r="S606"/>
      <c r="T606"/>
      <c r="U606"/>
      <c r="V606"/>
      <c r="W606">
        <v>18</v>
      </c>
    </row>
    <row r="607" spans="1:23">
      <c r="A607"/>
      <c r="B607" t="s">
        <v>48</v>
      </c>
      <c r="C607" t="s">
        <v>48</v>
      </c>
      <c r="D607" t="s">
        <v>33</v>
      </c>
      <c r="E607" t="s">
        <v>34</v>
      </c>
      <c r="F607" t="str">
        <f>"0000931"</f>
        <v>0000931</v>
      </c>
      <c r="G607">
        <v>1</v>
      </c>
      <c r="H607" t="str">
        <f>"00000000"</f>
        <v>00000000</v>
      </c>
      <c r="I607" t="s">
        <v>35</v>
      </c>
      <c r="J607"/>
      <c r="K607">
        <v>1.57</v>
      </c>
      <c r="L607">
        <v>0.0</v>
      </c>
      <c r="M607"/>
      <c r="N607"/>
      <c r="O607">
        <v>0.28</v>
      </c>
      <c r="P607">
        <v>0.0</v>
      </c>
      <c r="Q607">
        <v>1.86</v>
      </c>
      <c r="R607"/>
      <c r="S607"/>
      <c r="T607"/>
      <c r="U607"/>
      <c r="V607"/>
      <c r="W607">
        <v>18</v>
      </c>
    </row>
    <row r="608" spans="1:23">
      <c r="A608"/>
      <c r="B608" t="s">
        <v>48</v>
      </c>
      <c r="C608" t="s">
        <v>48</v>
      </c>
      <c r="D608" t="s">
        <v>33</v>
      </c>
      <c r="E608" t="s">
        <v>34</v>
      </c>
      <c r="F608" t="str">
        <f>"0000932"</f>
        <v>0000932</v>
      </c>
      <c r="G608">
        <v>1</v>
      </c>
      <c r="H608" t="str">
        <f>"00000000"</f>
        <v>00000000</v>
      </c>
      <c r="I608" t="s">
        <v>35</v>
      </c>
      <c r="J608"/>
      <c r="K608">
        <v>2.53</v>
      </c>
      <c r="L608">
        <v>0.0</v>
      </c>
      <c r="M608"/>
      <c r="N608"/>
      <c r="O608">
        <v>0.46</v>
      </c>
      <c r="P608">
        <v>0.0</v>
      </c>
      <c r="Q608">
        <v>2.99</v>
      </c>
      <c r="R608"/>
      <c r="S608"/>
      <c r="T608"/>
      <c r="U608"/>
      <c r="V608"/>
      <c r="W608">
        <v>18</v>
      </c>
    </row>
    <row r="609" spans="1:23">
      <c r="A609"/>
      <c r="B609" t="s">
        <v>48</v>
      </c>
      <c r="C609" t="s">
        <v>48</v>
      </c>
      <c r="D609" t="s">
        <v>33</v>
      </c>
      <c r="E609" t="s">
        <v>34</v>
      </c>
      <c r="F609" t="str">
        <f>"0000933"</f>
        <v>0000933</v>
      </c>
      <c r="G609">
        <v>1</v>
      </c>
      <c r="H609" t="str">
        <f>"00000000"</f>
        <v>00000000</v>
      </c>
      <c r="I609" t="s">
        <v>35</v>
      </c>
      <c r="J609"/>
      <c r="K609">
        <v>1.27</v>
      </c>
      <c r="L609">
        <v>0.0</v>
      </c>
      <c r="M609"/>
      <c r="N609"/>
      <c r="O609">
        <v>0.23</v>
      </c>
      <c r="P609">
        <v>0.0</v>
      </c>
      <c r="Q609">
        <v>1.5</v>
      </c>
      <c r="R609"/>
      <c r="S609"/>
      <c r="T609"/>
      <c r="U609"/>
      <c r="V609"/>
      <c r="W609">
        <v>18</v>
      </c>
    </row>
    <row r="610" spans="1:23">
      <c r="A610"/>
      <c r="B610" t="s">
        <v>48</v>
      </c>
      <c r="C610" t="s">
        <v>48</v>
      </c>
      <c r="D610" t="s">
        <v>33</v>
      </c>
      <c r="E610" t="s">
        <v>34</v>
      </c>
      <c r="F610" t="str">
        <f>"0000934"</f>
        <v>0000934</v>
      </c>
      <c r="G610">
        <v>1</v>
      </c>
      <c r="H610" t="str">
        <f>"00000000"</f>
        <v>00000000</v>
      </c>
      <c r="I610" t="s">
        <v>35</v>
      </c>
      <c r="J610"/>
      <c r="K610">
        <v>5.39</v>
      </c>
      <c r="L610">
        <v>0.0</v>
      </c>
      <c r="M610"/>
      <c r="N610"/>
      <c r="O610">
        <v>0.97</v>
      </c>
      <c r="P610">
        <v>0.0</v>
      </c>
      <c r="Q610">
        <v>6.36</v>
      </c>
      <c r="R610"/>
      <c r="S610"/>
      <c r="T610"/>
      <c r="U610"/>
      <c r="V610"/>
      <c r="W610">
        <v>18</v>
      </c>
    </row>
    <row r="611" spans="1:23">
      <c r="A611"/>
      <c r="B611" t="s">
        <v>48</v>
      </c>
      <c r="C611" t="s">
        <v>48</v>
      </c>
      <c r="D611" t="s">
        <v>33</v>
      </c>
      <c r="E611" t="s">
        <v>34</v>
      </c>
      <c r="F611" t="str">
        <f>"0000935"</f>
        <v>0000935</v>
      </c>
      <c r="G611">
        <v>1</v>
      </c>
      <c r="H611" t="str">
        <f>"00000000"</f>
        <v>00000000</v>
      </c>
      <c r="I611" t="s">
        <v>35</v>
      </c>
      <c r="J611"/>
      <c r="K611">
        <v>1.27</v>
      </c>
      <c r="L611">
        <v>0.0</v>
      </c>
      <c r="M611"/>
      <c r="N611"/>
      <c r="O611">
        <v>0.23</v>
      </c>
      <c r="P611">
        <v>0.0</v>
      </c>
      <c r="Q611">
        <v>1.5</v>
      </c>
      <c r="R611"/>
      <c r="S611"/>
      <c r="T611"/>
      <c r="U611"/>
      <c r="V611"/>
      <c r="W611">
        <v>18</v>
      </c>
    </row>
    <row r="612" spans="1:23">
      <c r="A612"/>
      <c r="B612" t="s">
        <v>48</v>
      </c>
      <c r="C612" t="s">
        <v>48</v>
      </c>
      <c r="D612" t="s">
        <v>33</v>
      </c>
      <c r="E612" t="s">
        <v>34</v>
      </c>
      <c r="F612" t="str">
        <f>"0000936"</f>
        <v>0000936</v>
      </c>
      <c r="G612">
        <v>1</v>
      </c>
      <c r="H612" t="str">
        <f>"00000000"</f>
        <v>00000000</v>
      </c>
      <c r="I612" t="s">
        <v>35</v>
      </c>
      <c r="J612"/>
      <c r="K612">
        <v>7.67</v>
      </c>
      <c r="L612">
        <v>0.0</v>
      </c>
      <c r="M612"/>
      <c r="N612"/>
      <c r="O612">
        <v>1.38</v>
      </c>
      <c r="P612">
        <v>0.2</v>
      </c>
      <c r="Q612">
        <v>9.25</v>
      </c>
      <c r="R612"/>
      <c r="S612"/>
      <c r="T612"/>
      <c r="U612"/>
      <c r="V612"/>
      <c r="W612">
        <v>18</v>
      </c>
    </row>
    <row r="613" spans="1:23">
      <c r="A613"/>
      <c r="B613" t="s">
        <v>48</v>
      </c>
      <c r="C613" t="s">
        <v>48</v>
      </c>
      <c r="D613" t="s">
        <v>33</v>
      </c>
      <c r="E613" t="s">
        <v>34</v>
      </c>
      <c r="F613" t="str">
        <f>"0000937"</f>
        <v>0000937</v>
      </c>
      <c r="G613">
        <v>1</v>
      </c>
      <c r="H613" t="str">
        <f>"00000000"</f>
        <v>00000000</v>
      </c>
      <c r="I613" t="s">
        <v>35</v>
      </c>
      <c r="J613"/>
      <c r="K613">
        <v>4.49</v>
      </c>
      <c r="L613">
        <v>0.0</v>
      </c>
      <c r="M613"/>
      <c r="N613"/>
      <c r="O613">
        <v>0.81</v>
      </c>
      <c r="P613">
        <v>0.0</v>
      </c>
      <c r="Q613">
        <v>5.3</v>
      </c>
      <c r="R613"/>
      <c r="S613"/>
      <c r="T613"/>
      <c r="U613"/>
      <c r="V613"/>
      <c r="W613">
        <v>18</v>
      </c>
    </row>
    <row r="614" spans="1:23">
      <c r="A614"/>
      <c r="B614" t="s">
        <v>48</v>
      </c>
      <c r="C614" t="s">
        <v>48</v>
      </c>
      <c r="D614" t="s">
        <v>33</v>
      </c>
      <c r="E614" t="s">
        <v>34</v>
      </c>
      <c r="F614" t="str">
        <f>"0000938"</f>
        <v>0000938</v>
      </c>
      <c r="G614">
        <v>1</v>
      </c>
      <c r="H614" t="str">
        <f>"00000000"</f>
        <v>00000000</v>
      </c>
      <c r="I614" t="s">
        <v>35</v>
      </c>
      <c r="J614"/>
      <c r="K614">
        <v>12.42</v>
      </c>
      <c r="L614">
        <v>0.0</v>
      </c>
      <c r="M614"/>
      <c r="N614"/>
      <c r="O614">
        <v>2.23</v>
      </c>
      <c r="P614">
        <v>0.0</v>
      </c>
      <c r="Q614">
        <v>14.65</v>
      </c>
      <c r="R614"/>
      <c r="S614"/>
      <c r="T614"/>
      <c r="U614"/>
      <c r="V614"/>
      <c r="W614">
        <v>18</v>
      </c>
    </row>
    <row r="615" spans="1:23">
      <c r="A615"/>
      <c r="B615" t="s">
        <v>48</v>
      </c>
      <c r="C615" t="s">
        <v>48</v>
      </c>
      <c r="D615" t="s">
        <v>33</v>
      </c>
      <c r="E615" t="s">
        <v>34</v>
      </c>
      <c r="F615" t="str">
        <f>"0000939"</f>
        <v>0000939</v>
      </c>
      <c r="G615">
        <v>1</v>
      </c>
      <c r="H615" t="str">
        <f>"00000000"</f>
        <v>00000000</v>
      </c>
      <c r="I615" t="s">
        <v>35</v>
      </c>
      <c r="J615"/>
      <c r="K615">
        <v>0.08</v>
      </c>
      <c r="L615">
        <v>0.0</v>
      </c>
      <c r="M615"/>
      <c r="N615"/>
      <c r="O615">
        <v>0.02</v>
      </c>
      <c r="P615">
        <v>0.2</v>
      </c>
      <c r="Q615">
        <v>0.3</v>
      </c>
      <c r="R615"/>
      <c r="S615"/>
      <c r="T615"/>
      <c r="U615"/>
      <c r="V615"/>
      <c r="W615">
        <v>18</v>
      </c>
    </row>
    <row r="616" spans="1:23">
      <c r="A616"/>
      <c r="B616" t="s">
        <v>48</v>
      </c>
      <c r="C616" t="s">
        <v>48</v>
      </c>
      <c r="D616" t="s">
        <v>33</v>
      </c>
      <c r="E616" t="s">
        <v>34</v>
      </c>
      <c r="F616" t="str">
        <f>"0000940"</f>
        <v>0000940</v>
      </c>
      <c r="G616">
        <v>1</v>
      </c>
      <c r="H616" t="str">
        <f>"00000000"</f>
        <v>00000000</v>
      </c>
      <c r="I616" t="s">
        <v>35</v>
      </c>
      <c r="J616"/>
      <c r="K616">
        <v>2.97</v>
      </c>
      <c r="L616">
        <v>0.0</v>
      </c>
      <c r="M616"/>
      <c r="N616"/>
      <c r="O616">
        <v>0.53</v>
      </c>
      <c r="P616">
        <v>0.0</v>
      </c>
      <c r="Q616">
        <v>3.5</v>
      </c>
      <c r="R616"/>
      <c r="S616"/>
      <c r="T616"/>
      <c r="U616"/>
      <c r="V616"/>
      <c r="W616">
        <v>18</v>
      </c>
    </row>
    <row r="617" spans="1:23">
      <c r="A617"/>
      <c r="B617" t="s">
        <v>48</v>
      </c>
      <c r="C617" t="s">
        <v>48</v>
      </c>
      <c r="D617" t="s">
        <v>33</v>
      </c>
      <c r="E617" t="s">
        <v>34</v>
      </c>
      <c r="F617" t="str">
        <f>"0000941"</f>
        <v>0000941</v>
      </c>
      <c r="G617">
        <v>1</v>
      </c>
      <c r="H617" t="str">
        <f>"00000000"</f>
        <v>00000000</v>
      </c>
      <c r="I617" t="s">
        <v>35</v>
      </c>
      <c r="J617"/>
      <c r="K617">
        <v>6.44</v>
      </c>
      <c r="L617">
        <v>0.0</v>
      </c>
      <c r="M617"/>
      <c r="N617"/>
      <c r="O617">
        <v>1.16</v>
      </c>
      <c r="P617">
        <v>0.2</v>
      </c>
      <c r="Q617">
        <v>7.8</v>
      </c>
      <c r="R617"/>
      <c r="S617"/>
      <c r="T617"/>
      <c r="U617"/>
      <c r="V617"/>
      <c r="W617">
        <v>18</v>
      </c>
    </row>
    <row r="618" spans="1:23">
      <c r="A618"/>
      <c r="B618" t="s">
        <v>48</v>
      </c>
      <c r="C618" t="s">
        <v>48</v>
      </c>
      <c r="D618" t="s">
        <v>33</v>
      </c>
      <c r="E618" t="s">
        <v>34</v>
      </c>
      <c r="F618" t="str">
        <f>"0000942"</f>
        <v>0000942</v>
      </c>
      <c r="G618">
        <v>1</v>
      </c>
      <c r="H618" t="str">
        <f>"00000000"</f>
        <v>00000000</v>
      </c>
      <c r="I618" t="s">
        <v>35</v>
      </c>
      <c r="J618"/>
      <c r="K618">
        <v>5.79</v>
      </c>
      <c r="L618">
        <v>0.0</v>
      </c>
      <c r="M618"/>
      <c r="N618"/>
      <c r="O618">
        <v>1.04</v>
      </c>
      <c r="P618">
        <v>0.0</v>
      </c>
      <c r="Q618">
        <v>6.84</v>
      </c>
      <c r="R618"/>
      <c r="S618"/>
      <c r="T618"/>
      <c r="U618"/>
      <c r="V618"/>
      <c r="W618">
        <v>18</v>
      </c>
    </row>
    <row r="619" spans="1:23">
      <c r="A619"/>
      <c r="B619" t="s">
        <v>48</v>
      </c>
      <c r="C619" t="s">
        <v>48</v>
      </c>
      <c r="D619" t="s">
        <v>33</v>
      </c>
      <c r="E619" t="s">
        <v>34</v>
      </c>
      <c r="F619" t="str">
        <f>"0000943"</f>
        <v>0000943</v>
      </c>
      <c r="G619">
        <v>1</v>
      </c>
      <c r="H619" t="str">
        <f>"00000000"</f>
        <v>00000000</v>
      </c>
      <c r="I619" t="s">
        <v>35</v>
      </c>
      <c r="J619"/>
      <c r="K619">
        <v>6.29</v>
      </c>
      <c r="L619">
        <v>0.0</v>
      </c>
      <c r="M619"/>
      <c r="N619"/>
      <c r="O619">
        <v>1.13</v>
      </c>
      <c r="P619">
        <v>0.2</v>
      </c>
      <c r="Q619">
        <v>7.62</v>
      </c>
      <c r="R619"/>
      <c r="S619"/>
      <c r="T619"/>
      <c r="U619"/>
      <c r="V619"/>
      <c r="W619">
        <v>18</v>
      </c>
    </row>
    <row r="620" spans="1:23">
      <c r="A620"/>
      <c r="B620" t="s">
        <v>48</v>
      </c>
      <c r="C620" t="s">
        <v>48</v>
      </c>
      <c r="D620" t="s">
        <v>33</v>
      </c>
      <c r="E620" t="s">
        <v>34</v>
      </c>
      <c r="F620" t="str">
        <f>"0000944"</f>
        <v>0000944</v>
      </c>
      <c r="G620">
        <v>1</v>
      </c>
      <c r="H620" t="str">
        <f>"00000000"</f>
        <v>00000000</v>
      </c>
      <c r="I620" t="s">
        <v>35</v>
      </c>
      <c r="J620"/>
      <c r="K620">
        <v>2.97</v>
      </c>
      <c r="L620">
        <v>0.0</v>
      </c>
      <c r="M620"/>
      <c r="N620"/>
      <c r="O620">
        <v>0.53</v>
      </c>
      <c r="P620">
        <v>0.0</v>
      </c>
      <c r="Q620">
        <v>3.5</v>
      </c>
      <c r="R620"/>
      <c r="S620"/>
      <c r="T620"/>
      <c r="U620"/>
      <c r="V620"/>
      <c r="W620">
        <v>18</v>
      </c>
    </row>
    <row r="621" spans="1:23">
      <c r="A621"/>
      <c r="B621" t="s">
        <v>48</v>
      </c>
      <c r="C621" t="s">
        <v>48</v>
      </c>
      <c r="D621" t="s">
        <v>33</v>
      </c>
      <c r="E621" t="s">
        <v>34</v>
      </c>
      <c r="F621" t="str">
        <f>"0000945"</f>
        <v>0000945</v>
      </c>
      <c r="G621">
        <v>1</v>
      </c>
      <c r="H621" t="str">
        <f>"00000000"</f>
        <v>00000000</v>
      </c>
      <c r="I621" t="s">
        <v>35</v>
      </c>
      <c r="J621"/>
      <c r="K621">
        <v>5.53</v>
      </c>
      <c r="L621">
        <v>0.0</v>
      </c>
      <c r="M621"/>
      <c r="N621"/>
      <c r="O621">
        <v>1.0</v>
      </c>
      <c r="P621">
        <v>0.2</v>
      </c>
      <c r="Q621">
        <v>6.73</v>
      </c>
      <c r="R621"/>
      <c r="S621"/>
      <c r="T621"/>
      <c r="U621"/>
      <c r="V621"/>
      <c r="W621">
        <v>18</v>
      </c>
    </row>
    <row r="622" spans="1:23">
      <c r="A622"/>
      <c r="B622" t="s">
        <v>48</v>
      </c>
      <c r="C622" t="s">
        <v>48</v>
      </c>
      <c r="D622" t="s">
        <v>33</v>
      </c>
      <c r="E622" t="s">
        <v>34</v>
      </c>
      <c r="F622" t="str">
        <f>"0000946"</f>
        <v>0000946</v>
      </c>
      <c r="G622">
        <v>1</v>
      </c>
      <c r="H622" t="str">
        <f>"00000000"</f>
        <v>00000000</v>
      </c>
      <c r="I622" t="s">
        <v>35</v>
      </c>
      <c r="J622"/>
      <c r="K622">
        <v>16.53</v>
      </c>
      <c r="L622">
        <v>0.0</v>
      </c>
      <c r="M622"/>
      <c r="N622"/>
      <c r="O622">
        <v>2.97</v>
      </c>
      <c r="P622">
        <v>0.2</v>
      </c>
      <c r="Q622">
        <v>19.7</v>
      </c>
      <c r="R622"/>
      <c r="S622"/>
      <c r="T622"/>
      <c r="U622"/>
      <c r="V622"/>
      <c r="W622">
        <v>18</v>
      </c>
    </row>
    <row r="623" spans="1:23">
      <c r="A623"/>
      <c r="B623" t="s">
        <v>48</v>
      </c>
      <c r="C623" t="s">
        <v>48</v>
      </c>
      <c r="D623" t="s">
        <v>33</v>
      </c>
      <c r="E623" t="s">
        <v>34</v>
      </c>
      <c r="F623" t="str">
        <f>"0000947"</f>
        <v>0000947</v>
      </c>
      <c r="G623">
        <v>1</v>
      </c>
      <c r="H623" t="str">
        <f>"00000000"</f>
        <v>00000000</v>
      </c>
      <c r="I623" t="s">
        <v>35</v>
      </c>
      <c r="J623"/>
      <c r="K623">
        <v>9.24</v>
      </c>
      <c r="L623">
        <v>0.0</v>
      </c>
      <c r="M623"/>
      <c r="N623"/>
      <c r="O623">
        <v>1.66</v>
      </c>
      <c r="P623">
        <v>0.0</v>
      </c>
      <c r="Q623">
        <v>10.9</v>
      </c>
      <c r="R623"/>
      <c r="S623"/>
      <c r="T623"/>
      <c r="U623"/>
      <c r="V623"/>
      <c r="W623">
        <v>18</v>
      </c>
    </row>
    <row r="624" spans="1:23">
      <c r="A624"/>
      <c r="B624" t="s">
        <v>48</v>
      </c>
      <c r="C624" t="s">
        <v>48</v>
      </c>
      <c r="D624" t="s">
        <v>33</v>
      </c>
      <c r="E624" t="s">
        <v>34</v>
      </c>
      <c r="F624" t="str">
        <f>"0000948"</f>
        <v>0000948</v>
      </c>
      <c r="G624">
        <v>1</v>
      </c>
      <c r="H624" t="str">
        <f>"00000000"</f>
        <v>00000000</v>
      </c>
      <c r="I624" t="s">
        <v>35</v>
      </c>
      <c r="J624"/>
      <c r="K624">
        <v>108.64</v>
      </c>
      <c r="L624">
        <v>0.0</v>
      </c>
      <c r="M624"/>
      <c r="N624"/>
      <c r="O624">
        <v>19.56</v>
      </c>
      <c r="P624">
        <v>0.6</v>
      </c>
      <c r="Q624">
        <v>128.8</v>
      </c>
      <c r="R624"/>
      <c r="S624"/>
      <c r="T624"/>
      <c r="U624"/>
      <c r="V624"/>
      <c r="W624">
        <v>18</v>
      </c>
    </row>
    <row r="625" spans="1:23">
      <c r="A625"/>
      <c r="B625" t="s">
        <v>48</v>
      </c>
      <c r="C625" t="s">
        <v>48</v>
      </c>
      <c r="D625" t="s">
        <v>33</v>
      </c>
      <c r="E625" t="s">
        <v>34</v>
      </c>
      <c r="F625" t="str">
        <f>"0000949"</f>
        <v>0000949</v>
      </c>
      <c r="G625">
        <v>1</v>
      </c>
      <c r="H625" t="str">
        <f>"00000000"</f>
        <v>00000000</v>
      </c>
      <c r="I625" t="s">
        <v>35</v>
      </c>
      <c r="J625"/>
      <c r="K625">
        <v>1.92</v>
      </c>
      <c r="L625">
        <v>0.0</v>
      </c>
      <c r="M625"/>
      <c r="N625"/>
      <c r="O625">
        <v>0.35</v>
      </c>
      <c r="P625">
        <v>0.0</v>
      </c>
      <c r="Q625">
        <v>2.27</v>
      </c>
      <c r="R625"/>
      <c r="S625"/>
      <c r="T625"/>
      <c r="U625"/>
      <c r="V625"/>
      <c r="W625">
        <v>18</v>
      </c>
    </row>
    <row r="626" spans="1:23">
      <c r="A626"/>
      <c r="B626" t="s">
        <v>48</v>
      </c>
      <c r="C626" t="s">
        <v>48</v>
      </c>
      <c r="D626" t="s">
        <v>33</v>
      </c>
      <c r="E626" t="s">
        <v>34</v>
      </c>
      <c r="F626" t="str">
        <f>"0000950"</f>
        <v>0000950</v>
      </c>
      <c r="G626">
        <v>1</v>
      </c>
      <c r="H626" t="str">
        <f>"00000000"</f>
        <v>00000000</v>
      </c>
      <c r="I626" t="s">
        <v>35</v>
      </c>
      <c r="J626"/>
      <c r="K626">
        <v>1.02</v>
      </c>
      <c r="L626">
        <v>0.0</v>
      </c>
      <c r="M626"/>
      <c r="N626"/>
      <c r="O626">
        <v>0.18</v>
      </c>
      <c r="P626">
        <v>0.0</v>
      </c>
      <c r="Q626">
        <v>1.2</v>
      </c>
      <c r="R626"/>
      <c r="S626"/>
      <c r="T626"/>
      <c r="U626"/>
      <c r="V626"/>
      <c r="W626">
        <v>18</v>
      </c>
    </row>
    <row r="627" spans="1:23">
      <c r="A627"/>
      <c r="B627" t="s">
        <v>48</v>
      </c>
      <c r="C627" t="s">
        <v>48</v>
      </c>
      <c r="D627" t="s">
        <v>33</v>
      </c>
      <c r="E627" t="s">
        <v>34</v>
      </c>
      <c r="F627" t="str">
        <f>"0000951"</f>
        <v>0000951</v>
      </c>
      <c r="G627">
        <v>1</v>
      </c>
      <c r="H627" t="str">
        <f>"00000000"</f>
        <v>00000000</v>
      </c>
      <c r="I627" t="s">
        <v>35</v>
      </c>
      <c r="J627"/>
      <c r="K627">
        <v>11.97</v>
      </c>
      <c r="L627">
        <v>0.0</v>
      </c>
      <c r="M627"/>
      <c r="N627"/>
      <c r="O627">
        <v>2.16</v>
      </c>
      <c r="P627">
        <v>0.2</v>
      </c>
      <c r="Q627">
        <v>14.33</v>
      </c>
      <c r="R627"/>
      <c r="S627"/>
      <c r="T627"/>
      <c r="U627"/>
      <c r="V627"/>
      <c r="W627">
        <v>18</v>
      </c>
    </row>
    <row r="628" spans="1:23">
      <c r="A628"/>
      <c r="B628" t="s">
        <v>48</v>
      </c>
      <c r="C628" t="s">
        <v>48</v>
      </c>
      <c r="D628" t="s">
        <v>33</v>
      </c>
      <c r="E628" t="s">
        <v>34</v>
      </c>
      <c r="F628" t="str">
        <f>"0000952"</f>
        <v>0000952</v>
      </c>
      <c r="G628">
        <v>1</v>
      </c>
      <c r="H628" t="str">
        <f>"00000000"</f>
        <v>00000000</v>
      </c>
      <c r="I628" t="s">
        <v>35</v>
      </c>
      <c r="J628"/>
      <c r="K628">
        <v>16.54</v>
      </c>
      <c r="L628">
        <v>0.0</v>
      </c>
      <c r="M628"/>
      <c r="N628"/>
      <c r="O628">
        <v>2.98</v>
      </c>
      <c r="P628">
        <v>0.2</v>
      </c>
      <c r="Q628">
        <v>19.72</v>
      </c>
      <c r="R628"/>
      <c r="S628"/>
      <c r="T628"/>
      <c r="U628"/>
      <c r="V628"/>
      <c r="W628">
        <v>18</v>
      </c>
    </row>
    <row r="629" spans="1:23">
      <c r="A629"/>
      <c r="B629" t="s">
        <v>48</v>
      </c>
      <c r="C629" t="s">
        <v>48</v>
      </c>
      <c r="D629" t="s">
        <v>33</v>
      </c>
      <c r="E629" t="s">
        <v>34</v>
      </c>
      <c r="F629" t="str">
        <f>"0000953"</f>
        <v>0000953</v>
      </c>
      <c r="G629">
        <v>1</v>
      </c>
      <c r="H629" t="str">
        <f>"00000000"</f>
        <v>00000000</v>
      </c>
      <c r="I629" t="s">
        <v>35</v>
      </c>
      <c r="J629"/>
      <c r="K629">
        <v>2.12</v>
      </c>
      <c r="L629">
        <v>0.0</v>
      </c>
      <c r="M629"/>
      <c r="N629"/>
      <c r="O629">
        <v>0.38</v>
      </c>
      <c r="P629">
        <v>0.0</v>
      </c>
      <c r="Q629">
        <v>2.5</v>
      </c>
      <c r="R629"/>
      <c r="S629"/>
      <c r="T629"/>
      <c r="U629"/>
      <c r="V629"/>
      <c r="W629">
        <v>18</v>
      </c>
    </row>
    <row r="630" spans="1:23">
      <c r="A630"/>
      <c r="B630" t="s">
        <v>48</v>
      </c>
      <c r="C630" t="s">
        <v>48</v>
      </c>
      <c r="D630" t="s">
        <v>33</v>
      </c>
      <c r="E630" t="s">
        <v>34</v>
      </c>
      <c r="F630" t="str">
        <f>"0000954"</f>
        <v>0000954</v>
      </c>
      <c r="G630">
        <v>1</v>
      </c>
      <c r="H630" t="str">
        <f>"00000000"</f>
        <v>00000000</v>
      </c>
      <c r="I630" t="s">
        <v>35</v>
      </c>
      <c r="J630"/>
      <c r="K630">
        <v>3.81</v>
      </c>
      <c r="L630">
        <v>0.0</v>
      </c>
      <c r="M630"/>
      <c r="N630"/>
      <c r="O630">
        <v>0.69</v>
      </c>
      <c r="P630">
        <v>0.0</v>
      </c>
      <c r="Q630">
        <v>4.5</v>
      </c>
      <c r="R630"/>
      <c r="S630"/>
      <c r="T630"/>
      <c r="U630"/>
      <c r="V630"/>
      <c r="W630">
        <v>18</v>
      </c>
    </row>
    <row r="631" spans="1:23">
      <c r="A631"/>
      <c r="B631" t="s">
        <v>48</v>
      </c>
      <c r="C631" t="s">
        <v>48</v>
      </c>
      <c r="D631" t="s">
        <v>33</v>
      </c>
      <c r="E631" t="s">
        <v>34</v>
      </c>
      <c r="F631" t="str">
        <f>"0000955"</f>
        <v>0000955</v>
      </c>
      <c r="G631">
        <v>1</v>
      </c>
      <c r="H631" t="str">
        <f>"00000000"</f>
        <v>00000000</v>
      </c>
      <c r="I631" t="s">
        <v>35</v>
      </c>
      <c r="J631"/>
      <c r="K631">
        <v>29.07</v>
      </c>
      <c r="L631">
        <v>0.0</v>
      </c>
      <c r="M631"/>
      <c r="N631"/>
      <c r="O631">
        <v>5.23</v>
      </c>
      <c r="P631">
        <v>0.2</v>
      </c>
      <c r="Q631">
        <v>34.5</v>
      </c>
      <c r="R631"/>
      <c r="S631"/>
      <c r="T631"/>
      <c r="U631"/>
      <c r="V631"/>
      <c r="W631">
        <v>18</v>
      </c>
    </row>
    <row r="632" spans="1:23">
      <c r="A632"/>
      <c r="B632" t="s">
        <v>48</v>
      </c>
      <c r="C632" t="s">
        <v>48</v>
      </c>
      <c r="D632" t="s">
        <v>33</v>
      </c>
      <c r="E632" t="s">
        <v>34</v>
      </c>
      <c r="F632" t="str">
        <f>"0000956"</f>
        <v>0000956</v>
      </c>
      <c r="G632">
        <v>1</v>
      </c>
      <c r="H632" t="str">
        <f>"00000000"</f>
        <v>00000000</v>
      </c>
      <c r="I632" t="s">
        <v>35</v>
      </c>
      <c r="J632"/>
      <c r="K632">
        <v>2.53</v>
      </c>
      <c r="L632">
        <v>0.0</v>
      </c>
      <c r="M632"/>
      <c r="N632"/>
      <c r="O632">
        <v>0.46</v>
      </c>
      <c r="P632">
        <v>0.0</v>
      </c>
      <c r="Q632">
        <v>2.99</v>
      </c>
      <c r="R632"/>
      <c r="S632"/>
      <c r="T632"/>
      <c r="U632"/>
      <c r="V632"/>
      <c r="W632">
        <v>18</v>
      </c>
    </row>
    <row r="633" spans="1:23">
      <c r="A633"/>
      <c r="B633" t="s">
        <v>48</v>
      </c>
      <c r="C633" t="s">
        <v>48</v>
      </c>
      <c r="D633" t="s">
        <v>33</v>
      </c>
      <c r="E633" t="s">
        <v>34</v>
      </c>
      <c r="F633" t="str">
        <f>"0000957"</f>
        <v>0000957</v>
      </c>
      <c r="G633">
        <v>1</v>
      </c>
      <c r="H633" t="str">
        <f>"00000000"</f>
        <v>00000000</v>
      </c>
      <c r="I633" t="s">
        <v>35</v>
      </c>
      <c r="J633"/>
      <c r="K633">
        <v>26.99</v>
      </c>
      <c r="L633">
        <v>0.0</v>
      </c>
      <c r="M633"/>
      <c r="N633"/>
      <c r="O633">
        <v>4.86</v>
      </c>
      <c r="P633">
        <v>0.4</v>
      </c>
      <c r="Q633">
        <v>32.25</v>
      </c>
      <c r="R633"/>
      <c r="S633"/>
      <c r="T633"/>
      <c r="U633"/>
      <c r="V633"/>
      <c r="W633">
        <v>18</v>
      </c>
    </row>
    <row r="634" spans="1:23">
      <c r="A634"/>
      <c r="B634" t="s">
        <v>48</v>
      </c>
      <c r="C634" t="s">
        <v>48</v>
      </c>
      <c r="D634" t="s">
        <v>33</v>
      </c>
      <c r="E634" t="s">
        <v>34</v>
      </c>
      <c r="F634" t="str">
        <f>"0000958"</f>
        <v>0000958</v>
      </c>
      <c r="G634">
        <v>1</v>
      </c>
      <c r="H634" t="str">
        <f>"00000000"</f>
        <v>00000000</v>
      </c>
      <c r="I634" t="s">
        <v>35</v>
      </c>
      <c r="J634"/>
      <c r="K634">
        <v>20.61</v>
      </c>
      <c r="L634">
        <v>0.0</v>
      </c>
      <c r="M634"/>
      <c r="N634"/>
      <c r="O634">
        <v>3.71</v>
      </c>
      <c r="P634">
        <v>0.2</v>
      </c>
      <c r="Q634">
        <v>24.52</v>
      </c>
      <c r="R634"/>
      <c r="S634"/>
      <c r="T634"/>
      <c r="U634"/>
      <c r="V634"/>
      <c r="W634">
        <v>18</v>
      </c>
    </row>
    <row r="635" spans="1:23">
      <c r="A635"/>
      <c r="B635" t="s">
        <v>48</v>
      </c>
      <c r="C635" t="s">
        <v>48</v>
      </c>
      <c r="D635" t="s">
        <v>33</v>
      </c>
      <c r="E635" t="s">
        <v>34</v>
      </c>
      <c r="F635" t="str">
        <f>"0000959"</f>
        <v>0000959</v>
      </c>
      <c r="G635">
        <v>1</v>
      </c>
      <c r="H635" t="str">
        <f>"00000000"</f>
        <v>00000000</v>
      </c>
      <c r="I635" t="s">
        <v>35</v>
      </c>
      <c r="J635"/>
      <c r="K635">
        <v>4.87</v>
      </c>
      <c r="L635">
        <v>0.0</v>
      </c>
      <c r="M635"/>
      <c r="N635"/>
      <c r="O635">
        <v>0.88</v>
      </c>
      <c r="P635">
        <v>0.2</v>
      </c>
      <c r="Q635">
        <v>5.95</v>
      </c>
      <c r="R635"/>
      <c r="S635"/>
      <c r="T635"/>
      <c r="U635"/>
      <c r="V635"/>
      <c r="W635">
        <v>18</v>
      </c>
    </row>
    <row r="636" spans="1:23">
      <c r="A636"/>
      <c r="B636" t="s">
        <v>48</v>
      </c>
      <c r="C636" t="s">
        <v>48</v>
      </c>
      <c r="D636" t="s">
        <v>33</v>
      </c>
      <c r="E636" t="s">
        <v>34</v>
      </c>
      <c r="F636" t="str">
        <f>"0000960"</f>
        <v>0000960</v>
      </c>
      <c r="G636">
        <v>1</v>
      </c>
      <c r="H636" t="str">
        <f>"00000000"</f>
        <v>00000000</v>
      </c>
      <c r="I636" t="s">
        <v>35</v>
      </c>
      <c r="J636"/>
      <c r="K636">
        <v>9.6</v>
      </c>
      <c r="L636">
        <v>0.0</v>
      </c>
      <c r="M636"/>
      <c r="N636"/>
      <c r="O636">
        <v>1.73</v>
      </c>
      <c r="P636">
        <v>0.2</v>
      </c>
      <c r="Q636">
        <v>11.53</v>
      </c>
      <c r="R636"/>
      <c r="S636"/>
      <c r="T636"/>
      <c r="U636"/>
      <c r="V636"/>
      <c r="W636">
        <v>18</v>
      </c>
    </row>
    <row r="637" spans="1:23">
      <c r="A637"/>
      <c r="B637" t="s">
        <v>48</v>
      </c>
      <c r="C637" t="s">
        <v>48</v>
      </c>
      <c r="D637" t="s">
        <v>33</v>
      </c>
      <c r="E637" t="s">
        <v>34</v>
      </c>
      <c r="F637" t="str">
        <f>"0000961"</f>
        <v>0000961</v>
      </c>
      <c r="G637">
        <v>1</v>
      </c>
      <c r="H637" t="str">
        <f>"00000000"</f>
        <v>00000000</v>
      </c>
      <c r="I637" t="s">
        <v>35</v>
      </c>
      <c r="J637"/>
      <c r="K637">
        <v>12.25</v>
      </c>
      <c r="L637">
        <v>0.0</v>
      </c>
      <c r="M637"/>
      <c r="N637"/>
      <c r="O637">
        <v>2.2</v>
      </c>
      <c r="P637">
        <v>0.2</v>
      </c>
      <c r="Q637">
        <v>14.65</v>
      </c>
      <c r="R637"/>
      <c r="S637"/>
      <c r="T637"/>
      <c r="U637"/>
      <c r="V637"/>
      <c r="W637">
        <v>18</v>
      </c>
    </row>
    <row r="638" spans="1:23">
      <c r="A638"/>
      <c r="B638" t="s">
        <v>48</v>
      </c>
      <c r="C638" t="s">
        <v>48</v>
      </c>
      <c r="D638" t="s">
        <v>33</v>
      </c>
      <c r="E638" t="s">
        <v>34</v>
      </c>
      <c r="F638" t="str">
        <f>"0000962"</f>
        <v>0000962</v>
      </c>
      <c r="G638">
        <v>1</v>
      </c>
      <c r="H638" t="str">
        <f>"00000000"</f>
        <v>00000000</v>
      </c>
      <c r="I638" t="s">
        <v>35</v>
      </c>
      <c r="J638"/>
      <c r="K638">
        <v>30.43</v>
      </c>
      <c r="L638">
        <v>0.0</v>
      </c>
      <c r="M638"/>
      <c r="N638"/>
      <c r="O638">
        <v>5.48</v>
      </c>
      <c r="P638">
        <v>0.2</v>
      </c>
      <c r="Q638">
        <v>36.11</v>
      </c>
      <c r="R638"/>
      <c r="S638"/>
      <c r="T638"/>
      <c r="U638"/>
      <c r="V638"/>
      <c r="W638">
        <v>18</v>
      </c>
    </row>
    <row r="639" spans="1:23">
      <c r="A639"/>
      <c r="B639" t="s">
        <v>48</v>
      </c>
      <c r="C639" t="s">
        <v>48</v>
      </c>
      <c r="D639" t="s">
        <v>33</v>
      </c>
      <c r="E639" t="s">
        <v>34</v>
      </c>
      <c r="F639" t="str">
        <f>"0000963"</f>
        <v>0000963</v>
      </c>
      <c r="G639">
        <v>1</v>
      </c>
      <c r="H639" t="str">
        <f>"00000000"</f>
        <v>00000000</v>
      </c>
      <c r="I639" t="s">
        <v>35</v>
      </c>
      <c r="J639"/>
      <c r="K639">
        <v>5.12</v>
      </c>
      <c r="L639">
        <v>0.0</v>
      </c>
      <c r="M639"/>
      <c r="N639"/>
      <c r="O639">
        <v>0.92</v>
      </c>
      <c r="P639">
        <v>0.2</v>
      </c>
      <c r="Q639">
        <v>6.24</v>
      </c>
      <c r="R639"/>
      <c r="S639"/>
      <c r="T639"/>
      <c r="U639"/>
      <c r="V639"/>
      <c r="W639">
        <v>18</v>
      </c>
    </row>
    <row r="640" spans="1:23">
      <c r="A640"/>
      <c r="B640" t="s">
        <v>48</v>
      </c>
      <c r="C640" t="s">
        <v>48</v>
      </c>
      <c r="D640" t="s">
        <v>33</v>
      </c>
      <c r="E640" t="s">
        <v>34</v>
      </c>
      <c r="F640" t="str">
        <f>"0000964"</f>
        <v>0000964</v>
      </c>
      <c r="G640">
        <v>1</v>
      </c>
      <c r="H640" t="str">
        <f>"00000000"</f>
        <v>00000000</v>
      </c>
      <c r="I640" t="s">
        <v>35</v>
      </c>
      <c r="J640"/>
      <c r="K640">
        <v>5.08</v>
      </c>
      <c r="L640">
        <v>0.0</v>
      </c>
      <c r="M640"/>
      <c r="N640"/>
      <c r="O640">
        <v>0.92</v>
      </c>
      <c r="P640">
        <v>0.0</v>
      </c>
      <c r="Q640">
        <v>6.0</v>
      </c>
      <c r="R640"/>
      <c r="S640"/>
      <c r="T640"/>
      <c r="U640"/>
      <c r="V640"/>
      <c r="W640">
        <v>18</v>
      </c>
    </row>
    <row r="641" spans="1:23">
      <c r="A641"/>
      <c r="B641" t="s">
        <v>48</v>
      </c>
      <c r="C641" t="s">
        <v>48</v>
      </c>
      <c r="D641" t="s">
        <v>33</v>
      </c>
      <c r="E641" t="s">
        <v>34</v>
      </c>
      <c r="F641" t="str">
        <f>"0000965"</f>
        <v>0000965</v>
      </c>
      <c r="G641">
        <v>1</v>
      </c>
      <c r="H641" t="str">
        <f>"00000000"</f>
        <v>00000000</v>
      </c>
      <c r="I641" t="s">
        <v>35</v>
      </c>
      <c r="J641"/>
      <c r="K641">
        <v>4.59</v>
      </c>
      <c r="L641">
        <v>0.0</v>
      </c>
      <c r="M641"/>
      <c r="N641"/>
      <c r="O641">
        <v>0.83</v>
      </c>
      <c r="P641">
        <v>0.2</v>
      </c>
      <c r="Q641">
        <v>5.61</v>
      </c>
      <c r="R641"/>
      <c r="S641"/>
      <c r="T641"/>
      <c r="U641"/>
      <c r="V641"/>
      <c r="W641">
        <v>18</v>
      </c>
    </row>
    <row r="642" spans="1:23">
      <c r="A642"/>
      <c r="B642" t="s">
        <v>48</v>
      </c>
      <c r="C642" t="s">
        <v>48</v>
      </c>
      <c r="D642" t="s">
        <v>33</v>
      </c>
      <c r="E642" t="s">
        <v>34</v>
      </c>
      <c r="F642" t="str">
        <f>"0000966"</f>
        <v>0000966</v>
      </c>
      <c r="G642">
        <v>1</v>
      </c>
      <c r="H642" t="str">
        <f>"00000000"</f>
        <v>00000000</v>
      </c>
      <c r="I642" t="s">
        <v>35</v>
      </c>
      <c r="J642"/>
      <c r="K642">
        <v>4.77</v>
      </c>
      <c r="L642">
        <v>0.0</v>
      </c>
      <c r="M642"/>
      <c r="N642"/>
      <c r="O642">
        <v>0.86</v>
      </c>
      <c r="P642">
        <v>0.2</v>
      </c>
      <c r="Q642">
        <v>5.83</v>
      </c>
      <c r="R642"/>
      <c r="S642"/>
      <c r="T642"/>
      <c r="U642"/>
      <c r="V642"/>
      <c r="W642">
        <v>18</v>
      </c>
    </row>
    <row r="643" spans="1:23">
      <c r="A643"/>
      <c r="B643" t="s">
        <v>48</v>
      </c>
      <c r="C643" t="s">
        <v>48</v>
      </c>
      <c r="D643" t="s">
        <v>33</v>
      </c>
      <c r="E643" t="s">
        <v>34</v>
      </c>
      <c r="F643" t="str">
        <f>"0000967"</f>
        <v>0000967</v>
      </c>
      <c r="G643">
        <v>1</v>
      </c>
      <c r="H643" t="str">
        <f>"00000000"</f>
        <v>00000000</v>
      </c>
      <c r="I643" t="s">
        <v>35</v>
      </c>
      <c r="J643"/>
      <c r="K643">
        <v>16.44</v>
      </c>
      <c r="L643">
        <v>0.0</v>
      </c>
      <c r="M643"/>
      <c r="N643"/>
      <c r="O643">
        <v>2.96</v>
      </c>
      <c r="P643">
        <v>0.2</v>
      </c>
      <c r="Q643">
        <v>19.6</v>
      </c>
      <c r="R643"/>
      <c r="S643"/>
      <c r="T643"/>
      <c r="U643"/>
      <c r="V643"/>
      <c r="W643">
        <v>18</v>
      </c>
    </row>
    <row r="644" spans="1:23">
      <c r="A644"/>
      <c r="B644" t="s">
        <v>48</v>
      </c>
      <c r="C644" t="s">
        <v>48</v>
      </c>
      <c r="D644" t="s">
        <v>33</v>
      </c>
      <c r="E644" t="s">
        <v>34</v>
      </c>
      <c r="F644" t="str">
        <f>"0000968"</f>
        <v>0000968</v>
      </c>
      <c r="G644">
        <v>1</v>
      </c>
      <c r="H644" t="str">
        <f>"00000000"</f>
        <v>00000000</v>
      </c>
      <c r="I644" t="s">
        <v>35</v>
      </c>
      <c r="J644"/>
      <c r="K644">
        <v>8.05</v>
      </c>
      <c r="L644">
        <v>0.0</v>
      </c>
      <c r="M644"/>
      <c r="N644"/>
      <c r="O644">
        <v>1.45</v>
      </c>
      <c r="P644">
        <v>0.0</v>
      </c>
      <c r="Q644">
        <v>9.5</v>
      </c>
      <c r="R644"/>
      <c r="S644"/>
      <c r="T644"/>
      <c r="U644"/>
      <c r="V644"/>
      <c r="W644">
        <v>18</v>
      </c>
    </row>
    <row r="645" spans="1:23">
      <c r="A645"/>
      <c r="B645" t="s">
        <v>48</v>
      </c>
      <c r="C645" t="s">
        <v>48</v>
      </c>
      <c r="D645" t="s">
        <v>33</v>
      </c>
      <c r="E645" t="s">
        <v>34</v>
      </c>
      <c r="F645" t="str">
        <f>"0000969"</f>
        <v>0000969</v>
      </c>
      <c r="G645">
        <v>1</v>
      </c>
      <c r="H645" t="str">
        <f>"00000000"</f>
        <v>00000000</v>
      </c>
      <c r="I645" t="s">
        <v>35</v>
      </c>
      <c r="J645"/>
      <c r="K645">
        <v>21.17</v>
      </c>
      <c r="L645">
        <v>0.0</v>
      </c>
      <c r="M645"/>
      <c r="N645"/>
      <c r="O645">
        <v>3.81</v>
      </c>
      <c r="P645">
        <v>0.2</v>
      </c>
      <c r="Q645">
        <v>25.18</v>
      </c>
      <c r="R645"/>
      <c r="S645"/>
      <c r="T645"/>
      <c r="U645"/>
      <c r="V645"/>
      <c r="W645">
        <v>18</v>
      </c>
    </row>
    <row r="646" spans="1:23">
      <c r="A646"/>
      <c r="B646" t="s">
        <v>48</v>
      </c>
      <c r="C646" t="s">
        <v>48</v>
      </c>
      <c r="D646" t="s">
        <v>33</v>
      </c>
      <c r="E646" t="s">
        <v>34</v>
      </c>
      <c r="F646" t="str">
        <f>"0000970"</f>
        <v>0000970</v>
      </c>
      <c r="G646">
        <v>1</v>
      </c>
      <c r="H646" t="str">
        <f>"00000000"</f>
        <v>00000000</v>
      </c>
      <c r="I646" t="s">
        <v>35</v>
      </c>
      <c r="J646"/>
      <c r="K646">
        <v>9.66</v>
      </c>
      <c r="L646">
        <v>0.0</v>
      </c>
      <c r="M646"/>
      <c r="N646"/>
      <c r="O646">
        <v>1.74</v>
      </c>
      <c r="P646">
        <v>0.0</v>
      </c>
      <c r="Q646">
        <v>11.4</v>
      </c>
      <c r="R646"/>
      <c r="S646"/>
      <c r="T646"/>
      <c r="U646"/>
      <c r="V646"/>
      <c r="W646">
        <v>18</v>
      </c>
    </row>
    <row r="647" spans="1:23">
      <c r="A647"/>
      <c r="B647" t="s">
        <v>48</v>
      </c>
      <c r="C647" t="s">
        <v>48</v>
      </c>
      <c r="D647" t="s">
        <v>33</v>
      </c>
      <c r="E647" t="s">
        <v>34</v>
      </c>
      <c r="F647" t="str">
        <f>"0000971"</f>
        <v>0000971</v>
      </c>
      <c r="G647">
        <v>1</v>
      </c>
      <c r="H647" t="str">
        <f>"00000000"</f>
        <v>00000000</v>
      </c>
      <c r="I647" t="s">
        <v>35</v>
      </c>
      <c r="J647"/>
      <c r="K647">
        <v>106.06</v>
      </c>
      <c r="L647">
        <v>0.0</v>
      </c>
      <c r="M647"/>
      <c r="N647"/>
      <c r="O647">
        <v>19.09</v>
      </c>
      <c r="P647">
        <v>0.0</v>
      </c>
      <c r="Q647">
        <v>125.15</v>
      </c>
      <c r="R647"/>
      <c r="S647"/>
      <c r="T647"/>
      <c r="U647"/>
      <c r="V647"/>
      <c r="W647">
        <v>18</v>
      </c>
    </row>
    <row r="648" spans="1:23">
      <c r="A648"/>
      <c r="B648" t="s">
        <v>48</v>
      </c>
      <c r="C648" t="s">
        <v>48</v>
      </c>
      <c r="D648" t="s">
        <v>33</v>
      </c>
      <c r="E648" t="s">
        <v>34</v>
      </c>
      <c r="F648" t="str">
        <f>"0000972"</f>
        <v>0000972</v>
      </c>
      <c r="G648">
        <v>1</v>
      </c>
      <c r="H648" t="str">
        <f>"00000000"</f>
        <v>00000000</v>
      </c>
      <c r="I648" t="s">
        <v>35</v>
      </c>
      <c r="J648"/>
      <c r="K648">
        <v>16.09</v>
      </c>
      <c r="L648">
        <v>0.0</v>
      </c>
      <c r="M648"/>
      <c r="N648"/>
      <c r="O648">
        <v>2.9</v>
      </c>
      <c r="P648">
        <v>0.2</v>
      </c>
      <c r="Q648">
        <v>19.19</v>
      </c>
      <c r="R648"/>
      <c r="S648"/>
      <c r="T648"/>
      <c r="U648"/>
      <c r="V648"/>
      <c r="W648">
        <v>18</v>
      </c>
    </row>
    <row r="649" spans="1:23">
      <c r="A649"/>
      <c r="B649" t="s">
        <v>48</v>
      </c>
      <c r="C649" t="s">
        <v>48</v>
      </c>
      <c r="D649" t="s">
        <v>33</v>
      </c>
      <c r="E649" t="s">
        <v>34</v>
      </c>
      <c r="F649" t="str">
        <f>"0000973"</f>
        <v>0000973</v>
      </c>
      <c r="G649">
        <v>1</v>
      </c>
      <c r="H649" t="str">
        <f>"00000000"</f>
        <v>00000000</v>
      </c>
      <c r="I649" t="s">
        <v>35</v>
      </c>
      <c r="J649"/>
      <c r="K649">
        <v>79.24</v>
      </c>
      <c r="L649">
        <v>0.0</v>
      </c>
      <c r="M649"/>
      <c r="N649"/>
      <c r="O649">
        <v>14.26</v>
      </c>
      <c r="P649">
        <v>0.4</v>
      </c>
      <c r="Q649">
        <v>93.9</v>
      </c>
      <c r="R649"/>
      <c r="S649"/>
      <c r="T649"/>
      <c r="U649"/>
      <c r="V649"/>
      <c r="W649">
        <v>18</v>
      </c>
    </row>
    <row r="650" spans="1:23">
      <c r="A650"/>
      <c r="B650" t="s">
        <v>48</v>
      </c>
      <c r="C650" t="s">
        <v>48</v>
      </c>
      <c r="D650" t="s">
        <v>33</v>
      </c>
      <c r="E650" t="s">
        <v>34</v>
      </c>
      <c r="F650" t="str">
        <f>"0000974"</f>
        <v>0000974</v>
      </c>
      <c r="G650">
        <v>1</v>
      </c>
      <c r="H650" t="str">
        <f>"00000000"</f>
        <v>00000000</v>
      </c>
      <c r="I650" t="s">
        <v>35</v>
      </c>
      <c r="J650"/>
      <c r="K650">
        <v>31.3</v>
      </c>
      <c r="L650">
        <v>0.0</v>
      </c>
      <c r="M650"/>
      <c r="N650"/>
      <c r="O650">
        <v>5.63</v>
      </c>
      <c r="P650">
        <v>0.2</v>
      </c>
      <c r="Q650">
        <v>37.13</v>
      </c>
      <c r="R650"/>
      <c r="S650"/>
      <c r="T650"/>
      <c r="U650"/>
      <c r="V650"/>
      <c r="W650">
        <v>18</v>
      </c>
    </row>
    <row r="651" spans="1:23">
      <c r="A651"/>
      <c r="B651" t="s">
        <v>48</v>
      </c>
      <c r="C651" t="s">
        <v>48</v>
      </c>
      <c r="D651" t="s">
        <v>33</v>
      </c>
      <c r="E651" t="s">
        <v>34</v>
      </c>
      <c r="F651" t="str">
        <f>"0000975"</f>
        <v>0000975</v>
      </c>
      <c r="G651">
        <v>1</v>
      </c>
      <c r="H651" t="str">
        <f>"00000000"</f>
        <v>00000000</v>
      </c>
      <c r="I651" t="s">
        <v>35</v>
      </c>
      <c r="J651"/>
      <c r="K651">
        <v>4.44</v>
      </c>
      <c r="L651">
        <v>0.0</v>
      </c>
      <c r="M651"/>
      <c r="N651"/>
      <c r="O651">
        <v>0.8</v>
      </c>
      <c r="P651">
        <v>0.0</v>
      </c>
      <c r="Q651">
        <v>5.24</v>
      </c>
      <c r="R651"/>
      <c r="S651"/>
      <c r="T651"/>
      <c r="U651"/>
      <c r="V651"/>
      <c r="W651">
        <v>18</v>
      </c>
    </row>
    <row r="652" spans="1:23">
      <c r="A652"/>
      <c r="B652" t="s">
        <v>48</v>
      </c>
      <c r="C652" t="s">
        <v>48</v>
      </c>
      <c r="D652" t="s">
        <v>33</v>
      </c>
      <c r="E652" t="s">
        <v>34</v>
      </c>
      <c r="F652" t="str">
        <f>"0000976"</f>
        <v>0000976</v>
      </c>
      <c r="G652">
        <v>1</v>
      </c>
      <c r="H652" t="str">
        <f>"00000000"</f>
        <v>00000000</v>
      </c>
      <c r="I652" t="s">
        <v>35</v>
      </c>
      <c r="J652"/>
      <c r="K652">
        <v>160.06</v>
      </c>
      <c r="L652">
        <v>0.0</v>
      </c>
      <c r="M652"/>
      <c r="N652"/>
      <c r="O652">
        <v>28.81</v>
      </c>
      <c r="P652">
        <v>0.0</v>
      </c>
      <c r="Q652">
        <v>188.88</v>
      </c>
      <c r="R652"/>
      <c r="S652"/>
      <c r="T652"/>
      <c r="U652"/>
      <c r="V652"/>
      <c r="W652">
        <v>18</v>
      </c>
    </row>
    <row r="653" spans="1:23">
      <c r="A653"/>
      <c r="B653" t="s">
        <v>48</v>
      </c>
      <c r="C653" t="s">
        <v>48</v>
      </c>
      <c r="D653" t="s">
        <v>33</v>
      </c>
      <c r="E653" t="s">
        <v>34</v>
      </c>
      <c r="F653" t="str">
        <f>"0000977"</f>
        <v>0000977</v>
      </c>
      <c r="G653">
        <v>1</v>
      </c>
      <c r="H653" t="str">
        <f>"00000000"</f>
        <v>00000000</v>
      </c>
      <c r="I653" t="s">
        <v>35</v>
      </c>
      <c r="J653"/>
      <c r="K653">
        <v>24.47</v>
      </c>
      <c r="L653">
        <v>0.0</v>
      </c>
      <c r="M653"/>
      <c r="N653"/>
      <c r="O653">
        <v>4.4</v>
      </c>
      <c r="P653">
        <v>0.2</v>
      </c>
      <c r="Q653">
        <v>29.07</v>
      </c>
      <c r="R653"/>
      <c r="S653"/>
      <c r="T653"/>
      <c r="U653"/>
      <c r="V653"/>
      <c r="W653">
        <v>18</v>
      </c>
    </row>
    <row r="654" spans="1:23">
      <c r="A654"/>
      <c r="B654" t="s">
        <v>48</v>
      </c>
      <c r="C654" t="s">
        <v>48</v>
      </c>
      <c r="D654" t="s">
        <v>33</v>
      </c>
      <c r="E654" t="s">
        <v>34</v>
      </c>
      <c r="F654" t="str">
        <f>"0000978"</f>
        <v>0000978</v>
      </c>
      <c r="G654">
        <v>1</v>
      </c>
      <c r="H654" t="str">
        <f>"00000000"</f>
        <v>00000000</v>
      </c>
      <c r="I654" t="s">
        <v>35</v>
      </c>
      <c r="J654"/>
      <c r="K654">
        <v>93.73</v>
      </c>
      <c r="L654">
        <v>0.0</v>
      </c>
      <c r="M654"/>
      <c r="N654"/>
      <c r="O654">
        <v>16.87</v>
      </c>
      <c r="P654">
        <v>0.0</v>
      </c>
      <c r="Q654">
        <v>110.6</v>
      </c>
      <c r="R654"/>
      <c r="S654"/>
      <c r="T654"/>
      <c r="U654"/>
      <c r="V654"/>
      <c r="W654">
        <v>18</v>
      </c>
    </row>
    <row r="655" spans="1:23">
      <c r="A655"/>
      <c r="B655" t="s">
        <v>48</v>
      </c>
      <c r="C655" t="s">
        <v>48</v>
      </c>
      <c r="D655" t="s">
        <v>33</v>
      </c>
      <c r="E655" t="s">
        <v>34</v>
      </c>
      <c r="F655" t="str">
        <f>"0000979"</f>
        <v>0000979</v>
      </c>
      <c r="G655">
        <v>1</v>
      </c>
      <c r="H655" t="str">
        <f>"00000000"</f>
        <v>00000000</v>
      </c>
      <c r="I655" t="s">
        <v>35</v>
      </c>
      <c r="J655"/>
      <c r="K655">
        <v>8.47</v>
      </c>
      <c r="L655">
        <v>0.0</v>
      </c>
      <c r="M655"/>
      <c r="N655"/>
      <c r="O655">
        <v>1.52</v>
      </c>
      <c r="P655">
        <v>0.0</v>
      </c>
      <c r="Q655">
        <v>9.99</v>
      </c>
      <c r="R655"/>
      <c r="S655"/>
      <c r="T655"/>
      <c r="U655"/>
      <c r="V655"/>
      <c r="W655">
        <v>18</v>
      </c>
    </row>
    <row r="656" spans="1:23">
      <c r="A656"/>
      <c r="B656" t="s">
        <v>48</v>
      </c>
      <c r="C656" t="s">
        <v>48</v>
      </c>
      <c r="D656" t="s">
        <v>33</v>
      </c>
      <c r="E656" t="s">
        <v>34</v>
      </c>
      <c r="F656" t="str">
        <f>"0000980"</f>
        <v>0000980</v>
      </c>
      <c r="G656">
        <v>1</v>
      </c>
      <c r="H656" t="str">
        <f>"00000000"</f>
        <v>00000000</v>
      </c>
      <c r="I656" t="s">
        <v>35</v>
      </c>
      <c r="J656"/>
      <c r="K656">
        <v>7.63</v>
      </c>
      <c r="L656">
        <v>0.0</v>
      </c>
      <c r="M656"/>
      <c r="N656"/>
      <c r="O656">
        <v>1.37</v>
      </c>
      <c r="P656">
        <v>0.0</v>
      </c>
      <c r="Q656">
        <v>9.0</v>
      </c>
      <c r="R656"/>
      <c r="S656"/>
      <c r="T656"/>
      <c r="U656"/>
      <c r="V656"/>
      <c r="W656">
        <v>18</v>
      </c>
    </row>
    <row r="657" spans="1:23">
      <c r="A657"/>
      <c r="B657" t="s">
        <v>48</v>
      </c>
      <c r="C657" t="s">
        <v>48</v>
      </c>
      <c r="D657" t="s">
        <v>33</v>
      </c>
      <c r="E657" t="s">
        <v>34</v>
      </c>
      <c r="F657" t="str">
        <f>"0000981"</f>
        <v>0000981</v>
      </c>
      <c r="G657">
        <v>1</v>
      </c>
      <c r="H657" t="str">
        <f>"00000000"</f>
        <v>00000000</v>
      </c>
      <c r="I657" t="s">
        <v>35</v>
      </c>
      <c r="J657"/>
      <c r="K657">
        <v>15.76</v>
      </c>
      <c r="L657">
        <v>0.0</v>
      </c>
      <c r="M657"/>
      <c r="N657"/>
      <c r="O657">
        <v>2.84</v>
      </c>
      <c r="P657">
        <v>0.2</v>
      </c>
      <c r="Q657">
        <v>18.8</v>
      </c>
      <c r="R657"/>
      <c r="S657"/>
      <c r="T657"/>
      <c r="U657"/>
      <c r="V657"/>
      <c r="W657">
        <v>18</v>
      </c>
    </row>
    <row r="658" spans="1:23">
      <c r="A658"/>
      <c r="B658" t="s">
        <v>48</v>
      </c>
      <c r="C658" t="s">
        <v>48</v>
      </c>
      <c r="D658" t="s">
        <v>33</v>
      </c>
      <c r="E658" t="s">
        <v>34</v>
      </c>
      <c r="F658" t="str">
        <f>"0000982"</f>
        <v>0000982</v>
      </c>
      <c r="G658">
        <v>1</v>
      </c>
      <c r="H658" t="str">
        <f>"00000000"</f>
        <v>00000000</v>
      </c>
      <c r="I658" t="s">
        <v>35</v>
      </c>
      <c r="J658"/>
      <c r="K658">
        <v>9.97</v>
      </c>
      <c r="L658">
        <v>0.0</v>
      </c>
      <c r="M658"/>
      <c r="N658"/>
      <c r="O658">
        <v>1.8</v>
      </c>
      <c r="P658">
        <v>0.2</v>
      </c>
      <c r="Q658">
        <v>11.97</v>
      </c>
      <c r="R658"/>
      <c r="S658"/>
      <c r="T658"/>
      <c r="U658"/>
      <c r="V658"/>
      <c r="W658">
        <v>18</v>
      </c>
    </row>
    <row r="659" spans="1:23">
      <c r="A659"/>
      <c r="B659" t="s">
        <v>48</v>
      </c>
      <c r="C659" t="s">
        <v>48</v>
      </c>
      <c r="D659" t="s">
        <v>33</v>
      </c>
      <c r="E659" t="s">
        <v>34</v>
      </c>
      <c r="F659" t="str">
        <f>"0000983"</f>
        <v>0000983</v>
      </c>
      <c r="G659">
        <v>1</v>
      </c>
      <c r="H659" t="str">
        <f>"00000000"</f>
        <v>00000000</v>
      </c>
      <c r="I659" t="s">
        <v>35</v>
      </c>
      <c r="J659"/>
      <c r="K659">
        <v>19.79</v>
      </c>
      <c r="L659">
        <v>0.0</v>
      </c>
      <c r="M659"/>
      <c r="N659"/>
      <c r="O659">
        <v>3.56</v>
      </c>
      <c r="P659">
        <v>0.2</v>
      </c>
      <c r="Q659">
        <v>23.55</v>
      </c>
      <c r="R659"/>
      <c r="S659"/>
      <c r="T659"/>
      <c r="U659"/>
      <c r="V659"/>
      <c r="W659">
        <v>18</v>
      </c>
    </row>
    <row r="660" spans="1:23">
      <c r="A660"/>
      <c r="B660" t="s">
        <v>48</v>
      </c>
      <c r="C660" t="s">
        <v>48</v>
      </c>
      <c r="D660" t="s">
        <v>33</v>
      </c>
      <c r="E660" t="s">
        <v>34</v>
      </c>
      <c r="F660" t="str">
        <f>"0000984"</f>
        <v>0000984</v>
      </c>
      <c r="G660">
        <v>1</v>
      </c>
      <c r="H660" t="str">
        <f>"00000000"</f>
        <v>00000000</v>
      </c>
      <c r="I660" t="s">
        <v>35</v>
      </c>
      <c r="J660"/>
      <c r="K660">
        <v>2.37</v>
      </c>
      <c r="L660">
        <v>0.0</v>
      </c>
      <c r="M660"/>
      <c r="N660"/>
      <c r="O660">
        <v>0.43</v>
      </c>
      <c r="P660">
        <v>0.0</v>
      </c>
      <c r="Q660">
        <v>2.8</v>
      </c>
      <c r="R660"/>
      <c r="S660"/>
      <c r="T660"/>
      <c r="U660"/>
      <c r="V660"/>
      <c r="W660">
        <v>18</v>
      </c>
    </row>
    <row r="661" spans="1:23">
      <c r="A661"/>
      <c r="B661" t="s">
        <v>48</v>
      </c>
      <c r="C661" t="s">
        <v>48</v>
      </c>
      <c r="D661" t="s">
        <v>33</v>
      </c>
      <c r="E661" t="s">
        <v>34</v>
      </c>
      <c r="F661" t="str">
        <f>"0000985"</f>
        <v>0000985</v>
      </c>
      <c r="G661">
        <v>1</v>
      </c>
      <c r="H661" t="str">
        <f>"00000000"</f>
        <v>00000000</v>
      </c>
      <c r="I661" t="s">
        <v>35</v>
      </c>
      <c r="J661"/>
      <c r="K661">
        <v>18.14</v>
      </c>
      <c r="L661">
        <v>0.0</v>
      </c>
      <c r="M661"/>
      <c r="N661"/>
      <c r="O661">
        <v>3.27</v>
      </c>
      <c r="P661">
        <v>0.2</v>
      </c>
      <c r="Q661">
        <v>21.61</v>
      </c>
      <c r="R661"/>
      <c r="S661"/>
      <c r="T661"/>
      <c r="U661"/>
      <c r="V661"/>
      <c r="W661">
        <v>18</v>
      </c>
    </row>
    <row r="662" spans="1:23">
      <c r="A662"/>
      <c r="B662" t="s">
        <v>48</v>
      </c>
      <c r="C662" t="s">
        <v>48</v>
      </c>
      <c r="D662" t="s">
        <v>33</v>
      </c>
      <c r="E662" t="s">
        <v>34</v>
      </c>
      <c r="F662" t="str">
        <f>"0000986"</f>
        <v>0000986</v>
      </c>
      <c r="G662">
        <v>1</v>
      </c>
      <c r="H662" t="str">
        <f>"00000000"</f>
        <v>00000000</v>
      </c>
      <c r="I662" t="s">
        <v>35</v>
      </c>
      <c r="J662"/>
      <c r="K662">
        <v>3.22</v>
      </c>
      <c r="L662">
        <v>0.0</v>
      </c>
      <c r="M662"/>
      <c r="N662"/>
      <c r="O662">
        <v>0.58</v>
      </c>
      <c r="P662">
        <v>0.0</v>
      </c>
      <c r="Q662">
        <v>3.8</v>
      </c>
      <c r="R662"/>
      <c r="S662"/>
      <c r="T662"/>
      <c r="U662"/>
      <c r="V662"/>
      <c r="W662">
        <v>18</v>
      </c>
    </row>
    <row r="663" spans="1:23">
      <c r="A663"/>
      <c r="B663" t="s">
        <v>48</v>
      </c>
      <c r="C663" t="s">
        <v>48</v>
      </c>
      <c r="D663" t="s">
        <v>36</v>
      </c>
      <c r="E663" t="s">
        <v>37</v>
      </c>
      <c r="F663" t="str">
        <f>"0000022"</f>
        <v>0000022</v>
      </c>
      <c r="G663">
        <v>6</v>
      </c>
      <c r="H663" t="str">
        <f>"20602350402"</f>
        <v>20602350402</v>
      </c>
      <c r="I663" t="s">
        <v>50</v>
      </c>
      <c r="J663"/>
      <c r="K663">
        <v>61.96</v>
      </c>
      <c r="L663">
        <v>0.0</v>
      </c>
      <c r="M663"/>
      <c r="N663"/>
      <c r="O663">
        <v>11.15</v>
      </c>
      <c r="P663">
        <v>0.6</v>
      </c>
      <c r="Q663">
        <v>73.71</v>
      </c>
      <c r="R663"/>
      <c r="S663"/>
      <c r="T663"/>
      <c r="U663"/>
      <c r="V663"/>
      <c r="W663">
        <v>18</v>
      </c>
    </row>
    <row r="664" spans="1:23">
      <c r="A664"/>
      <c r="B664" t="s">
        <v>48</v>
      </c>
      <c r="C664" t="s">
        <v>48</v>
      </c>
      <c r="D664" t="s">
        <v>33</v>
      </c>
      <c r="E664" t="s">
        <v>34</v>
      </c>
      <c r="F664" t="str">
        <f>"0000987"</f>
        <v>0000987</v>
      </c>
      <c r="G664">
        <v>1</v>
      </c>
      <c r="H664" t="str">
        <f>"00000000"</f>
        <v>00000000</v>
      </c>
      <c r="I664" t="s">
        <v>35</v>
      </c>
      <c r="J664"/>
      <c r="K664">
        <v>16.86</v>
      </c>
      <c r="L664">
        <v>0.0</v>
      </c>
      <c r="M664"/>
      <c r="N664"/>
      <c r="O664">
        <v>3.04</v>
      </c>
      <c r="P664">
        <v>0.0</v>
      </c>
      <c r="Q664">
        <v>19.9</v>
      </c>
      <c r="R664"/>
      <c r="S664"/>
      <c r="T664"/>
      <c r="U664"/>
      <c r="V664"/>
      <c r="W664">
        <v>18</v>
      </c>
    </row>
    <row r="665" spans="1:23">
      <c r="A665"/>
      <c r="B665" t="s">
        <v>48</v>
      </c>
      <c r="C665" t="s">
        <v>48</v>
      </c>
      <c r="D665" t="s">
        <v>33</v>
      </c>
      <c r="E665" t="s">
        <v>34</v>
      </c>
      <c r="F665" t="str">
        <f>"0000988"</f>
        <v>0000988</v>
      </c>
      <c r="G665">
        <v>1</v>
      </c>
      <c r="H665" t="str">
        <f>"00000000"</f>
        <v>00000000</v>
      </c>
      <c r="I665" t="s">
        <v>35</v>
      </c>
      <c r="J665"/>
      <c r="K665">
        <v>71.01</v>
      </c>
      <c r="L665">
        <v>0.0</v>
      </c>
      <c r="M665"/>
      <c r="N665"/>
      <c r="O665">
        <v>12.78</v>
      </c>
      <c r="P665">
        <v>0.0</v>
      </c>
      <c r="Q665">
        <v>83.79</v>
      </c>
      <c r="R665"/>
      <c r="S665"/>
      <c r="T665"/>
      <c r="U665"/>
      <c r="V665"/>
      <c r="W665">
        <v>18</v>
      </c>
    </row>
    <row r="666" spans="1:23">
      <c r="A666"/>
      <c r="B666" t="s">
        <v>48</v>
      </c>
      <c r="C666" t="s">
        <v>48</v>
      </c>
      <c r="D666" t="s">
        <v>33</v>
      </c>
      <c r="E666" t="s">
        <v>34</v>
      </c>
      <c r="F666" t="str">
        <f>"0000989"</f>
        <v>0000989</v>
      </c>
      <c r="G666">
        <v>1</v>
      </c>
      <c r="H666" t="str">
        <f>"00000000"</f>
        <v>00000000</v>
      </c>
      <c r="I666" t="s">
        <v>35</v>
      </c>
      <c r="J666"/>
      <c r="K666">
        <v>33.85</v>
      </c>
      <c r="L666">
        <v>0.0</v>
      </c>
      <c r="M666"/>
      <c r="N666"/>
      <c r="O666">
        <v>6.09</v>
      </c>
      <c r="P666">
        <v>0.0</v>
      </c>
      <c r="Q666">
        <v>39.94</v>
      </c>
      <c r="R666"/>
      <c r="S666"/>
      <c r="T666"/>
      <c r="U666"/>
      <c r="V666"/>
      <c r="W666">
        <v>18</v>
      </c>
    </row>
    <row r="667" spans="1:23">
      <c r="A667"/>
      <c r="B667" t="s">
        <v>48</v>
      </c>
      <c r="C667" t="s">
        <v>48</v>
      </c>
      <c r="D667" t="s">
        <v>33</v>
      </c>
      <c r="E667" t="s">
        <v>34</v>
      </c>
      <c r="F667" t="str">
        <f>"0000990"</f>
        <v>0000990</v>
      </c>
      <c r="G667">
        <v>1</v>
      </c>
      <c r="H667" t="str">
        <f>"00000000"</f>
        <v>00000000</v>
      </c>
      <c r="I667" t="s">
        <v>35</v>
      </c>
      <c r="J667"/>
      <c r="K667">
        <v>10.11</v>
      </c>
      <c r="L667">
        <v>0.0</v>
      </c>
      <c r="M667"/>
      <c r="N667"/>
      <c r="O667">
        <v>1.82</v>
      </c>
      <c r="P667">
        <v>0.0</v>
      </c>
      <c r="Q667">
        <v>11.94</v>
      </c>
      <c r="R667"/>
      <c r="S667"/>
      <c r="T667"/>
      <c r="U667"/>
      <c r="V667"/>
      <c r="W667">
        <v>18</v>
      </c>
    </row>
    <row r="668" spans="1:23">
      <c r="A668"/>
      <c r="B668" t="s">
        <v>48</v>
      </c>
      <c r="C668" t="s">
        <v>48</v>
      </c>
      <c r="D668" t="s">
        <v>33</v>
      </c>
      <c r="E668" t="s">
        <v>34</v>
      </c>
      <c r="F668" t="str">
        <f>"0000991"</f>
        <v>0000991</v>
      </c>
      <c r="G668">
        <v>1</v>
      </c>
      <c r="H668" t="str">
        <f>"00000000"</f>
        <v>00000000</v>
      </c>
      <c r="I668" t="s">
        <v>35</v>
      </c>
      <c r="J668"/>
      <c r="K668">
        <v>1.53</v>
      </c>
      <c r="L668">
        <v>0.0</v>
      </c>
      <c r="M668"/>
      <c r="N668"/>
      <c r="O668">
        <v>0.27</v>
      </c>
      <c r="P668">
        <v>0.0</v>
      </c>
      <c r="Q668">
        <v>1.8</v>
      </c>
      <c r="R668"/>
      <c r="S668"/>
      <c r="T668"/>
      <c r="U668"/>
      <c r="V668"/>
      <c r="W668">
        <v>18</v>
      </c>
    </row>
    <row r="669" spans="1:23">
      <c r="A669"/>
      <c r="B669" t="s">
        <v>48</v>
      </c>
      <c r="C669" t="s">
        <v>48</v>
      </c>
      <c r="D669" t="s">
        <v>33</v>
      </c>
      <c r="E669" t="s">
        <v>34</v>
      </c>
      <c r="F669" t="str">
        <f>"0000992"</f>
        <v>0000992</v>
      </c>
      <c r="G669">
        <v>1</v>
      </c>
      <c r="H669" t="str">
        <f>"00000000"</f>
        <v>00000000</v>
      </c>
      <c r="I669" t="s">
        <v>35</v>
      </c>
      <c r="J669"/>
      <c r="K669">
        <v>3.81</v>
      </c>
      <c r="L669">
        <v>0.0</v>
      </c>
      <c r="M669"/>
      <c r="N669"/>
      <c r="O669">
        <v>0.69</v>
      </c>
      <c r="P669">
        <v>0.0</v>
      </c>
      <c r="Q669">
        <v>4.5</v>
      </c>
      <c r="R669"/>
      <c r="S669"/>
      <c r="T669"/>
      <c r="U669"/>
      <c r="V669"/>
      <c r="W669">
        <v>18</v>
      </c>
    </row>
    <row r="670" spans="1:23">
      <c r="A670"/>
      <c r="B670" t="s">
        <v>48</v>
      </c>
      <c r="C670" t="s">
        <v>48</v>
      </c>
      <c r="D670" t="s">
        <v>33</v>
      </c>
      <c r="E670" t="s">
        <v>34</v>
      </c>
      <c r="F670" t="str">
        <f>"0000993"</f>
        <v>0000993</v>
      </c>
      <c r="G670">
        <v>1</v>
      </c>
      <c r="H670" t="str">
        <f>"00000000"</f>
        <v>00000000</v>
      </c>
      <c r="I670" t="s">
        <v>35</v>
      </c>
      <c r="J670"/>
      <c r="K670">
        <v>2.85</v>
      </c>
      <c r="L670">
        <v>0.0</v>
      </c>
      <c r="M670"/>
      <c r="N670"/>
      <c r="O670">
        <v>0.51</v>
      </c>
      <c r="P670">
        <v>0.0</v>
      </c>
      <c r="Q670">
        <v>3.36</v>
      </c>
      <c r="R670"/>
      <c r="S670"/>
      <c r="T670"/>
      <c r="U670"/>
      <c r="V670"/>
      <c r="W670">
        <v>18</v>
      </c>
    </row>
    <row r="671" spans="1:23">
      <c r="A671"/>
      <c r="B671" t="s">
        <v>48</v>
      </c>
      <c r="C671" t="s">
        <v>48</v>
      </c>
      <c r="D671" t="s">
        <v>33</v>
      </c>
      <c r="E671" t="s">
        <v>34</v>
      </c>
      <c r="F671" t="str">
        <f>"0000994"</f>
        <v>0000994</v>
      </c>
      <c r="G671">
        <v>1</v>
      </c>
      <c r="H671" t="str">
        <f>"00000000"</f>
        <v>00000000</v>
      </c>
      <c r="I671" t="s">
        <v>35</v>
      </c>
      <c r="J671"/>
      <c r="K671">
        <v>7.92</v>
      </c>
      <c r="L671">
        <v>0.0</v>
      </c>
      <c r="M671"/>
      <c r="N671"/>
      <c r="O671">
        <v>1.43</v>
      </c>
      <c r="P671">
        <v>0.0</v>
      </c>
      <c r="Q671">
        <v>9.35</v>
      </c>
      <c r="R671"/>
      <c r="S671"/>
      <c r="T671"/>
      <c r="U671"/>
      <c r="V671"/>
      <c r="W671">
        <v>18</v>
      </c>
    </row>
    <row r="672" spans="1:23">
      <c r="A672"/>
      <c r="B672" t="s">
        <v>48</v>
      </c>
      <c r="C672" t="s">
        <v>48</v>
      </c>
      <c r="D672" t="s">
        <v>33</v>
      </c>
      <c r="E672" t="s">
        <v>34</v>
      </c>
      <c r="F672" t="str">
        <f>"0000995"</f>
        <v>0000995</v>
      </c>
      <c r="G672">
        <v>1</v>
      </c>
      <c r="H672" t="str">
        <f>"00000000"</f>
        <v>00000000</v>
      </c>
      <c r="I672" t="s">
        <v>35</v>
      </c>
      <c r="J672"/>
      <c r="K672">
        <v>8.72</v>
      </c>
      <c r="L672">
        <v>0.0</v>
      </c>
      <c r="M672"/>
      <c r="N672"/>
      <c r="O672">
        <v>1.57</v>
      </c>
      <c r="P672">
        <v>0.2</v>
      </c>
      <c r="Q672">
        <v>10.49</v>
      </c>
      <c r="R672"/>
      <c r="S672"/>
      <c r="T672"/>
      <c r="U672"/>
      <c r="V672"/>
      <c r="W672">
        <v>18</v>
      </c>
    </row>
    <row r="673" spans="1:23">
      <c r="A673"/>
      <c r="B673" t="s">
        <v>48</v>
      </c>
      <c r="C673" t="s">
        <v>48</v>
      </c>
      <c r="D673" t="s">
        <v>33</v>
      </c>
      <c r="E673" t="s">
        <v>34</v>
      </c>
      <c r="F673" t="str">
        <f>"0000996"</f>
        <v>0000996</v>
      </c>
      <c r="G673">
        <v>1</v>
      </c>
      <c r="H673" t="str">
        <f>"00000000"</f>
        <v>00000000</v>
      </c>
      <c r="I673" t="s">
        <v>35</v>
      </c>
      <c r="J673"/>
      <c r="K673">
        <v>39.92</v>
      </c>
      <c r="L673">
        <v>0.0</v>
      </c>
      <c r="M673"/>
      <c r="N673"/>
      <c r="O673">
        <v>7.18</v>
      </c>
      <c r="P673">
        <v>0.2</v>
      </c>
      <c r="Q673">
        <v>47.3</v>
      </c>
      <c r="R673"/>
      <c r="S673"/>
      <c r="T673"/>
      <c r="U673"/>
      <c r="V673"/>
      <c r="W673">
        <v>18</v>
      </c>
    </row>
    <row r="674" spans="1:23">
      <c r="A674"/>
      <c r="B674" t="s">
        <v>48</v>
      </c>
      <c r="C674" t="s">
        <v>48</v>
      </c>
      <c r="D674" t="s">
        <v>33</v>
      </c>
      <c r="E674" t="s">
        <v>34</v>
      </c>
      <c r="F674" t="str">
        <f>"0000998"</f>
        <v>0000998</v>
      </c>
      <c r="G674">
        <v>1</v>
      </c>
      <c r="H674" t="str">
        <f>"00000000"</f>
        <v>00000000</v>
      </c>
      <c r="I674" t="s">
        <v>35</v>
      </c>
      <c r="J674"/>
      <c r="K674">
        <v>11.69</v>
      </c>
      <c r="L674">
        <v>0.0</v>
      </c>
      <c r="M674"/>
      <c r="N674"/>
      <c r="O674">
        <v>2.11</v>
      </c>
      <c r="P674">
        <v>0.0</v>
      </c>
      <c r="Q674">
        <v>13.8</v>
      </c>
      <c r="R674"/>
      <c r="S674"/>
      <c r="T674"/>
      <c r="U674"/>
      <c r="V674"/>
      <c r="W674">
        <v>18</v>
      </c>
    </row>
    <row r="675" spans="1:23">
      <c r="A675"/>
      <c r="B675" t="s">
        <v>48</v>
      </c>
      <c r="C675" t="s">
        <v>48</v>
      </c>
      <c r="D675" t="s">
        <v>33</v>
      </c>
      <c r="E675" t="s">
        <v>34</v>
      </c>
      <c r="F675" t="str">
        <f>"0000998"</f>
        <v>0000998</v>
      </c>
      <c r="G675">
        <v>1</v>
      </c>
      <c r="H675" t="str">
        <f>"00000000"</f>
        <v>00000000</v>
      </c>
      <c r="I675" t="s">
        <v>35</v>
      </c>
      <c r="J675"/>
      <c r="K675">
        <v>11.69</v>
      </c>
      <c r="L675">
        <v>0.0</v>
      </c>
      <c r="M675"/>
      <c r="N675"/>
      <c r="O675">
        <v>2.11</v>
      </c>
      <c r="P675">
        <v>0.0</v>
      </c>
      <c r="Q675">
        <v>13.8</v>
      </c>
      <c r="R675"/>
      <c r="S675"/>
      <c r="T675"/>
      <c r="U675"/>
      <c r="V675"/>
      <c r="W675">
        <v>18</v>
      </c>
    </row>
    <row r="676" spans="1:23">
      <c r="A676"/>
      <c r="B676" t="s">
        <v>48</v>
      </c>
      <c r="C676" t="s">
        <v>48</v>
      </c>
      <c r="D676" t="s">
        <v>33</v>
      </c>
      <c r="E676" t="s">
        <v>34</v>
      </c>
      <c r="F676" t="str">
        <f>"0000999"</f>
        <v>0000999</v>
      </c>
      <c r="G676">
        <v>1</v>
      </c>
      <c r="H676" t="str">
        <f>"00000000"</f>
        <v>00000000</v>
      </c>
      <c r="I676" t="s">
        <v>35</v>
      </c>
      <c r="J676"/>
      <c r="K676">
        <v>15.25</v>
      </c>
      <c r="L676">
        <v>0.0</v>
      </c>
      <c r="M676"/>
      <c r="N676"/>
      <c r="O676">
        <v>2.75</v>
      </c>
      <c r="P676">
        <v>0.0</v>
      </c>
      <c r="Q676">
        <v>18.0</v>
      </c>
      <c r="R676"/>
      <c r="S676"/>
      <c r="T676"/>
      <c r="U676"/>
      <c r="V676"/>
      <c r="W676">
        <v>18</v>
      </c>
    </row>
    <row r="677" spans="1:23">
      <c r="A677"/>
      <c r="B677" t="s">
        <v>48</v>
      </c>
      <c r="C677" t="s">
        <v>48</v>
      </c>
      <c r="D677" t="s">
        <v>33</v>
      </c>
      <c r="E677" t="s">
        <v>34</v>
      </c>
      <c r="F677" t="str">
        <f>"0001000"</f>
        <v>0001000</v>
      </c>
      <c r="G677">
        <v>1</v>
      </c>
      <c r="H677" t="str">
        <f>"00000000"</f>
        <v>00000000</v>
      </c>
      <c r="I677" t="s">
        <v>35</v>
      </c>
      <c r="J677"/>
      <c r="K677">
        <v>15.25</v>
      </c>
      <c r="L677">
        <v>0.0</v>
      </c>
      <c r="M677"/>
      <c r="N677"/>
      <c r="O677">
        <v>2.75</v>
      </c>
      <c r="P677">
        <v>0.0</v>
      </c>
      <c r="Q677">
        <v>18.0</v>
      </c>
      <c r="R677"/>
      <c r="S677"/>
      <c r="T677"/>
      <c r="U677"/>
      <c r="V677"/>
      <c r="W677">
        <v>18</v>
      </c>
    </row>
    <row r="678" spans="1:23">
      <c r="A678"/>
      <c r="B678" t="s">
        <v>48</v>
      </c>
      <c r="C678" t="s">
        <v>48</v>
      </c>
      <c r="D678" t="s">
        <v>33</v>
      </c>
      <c r="E678" t="s">
        <v>34</v>
      </c>
      <c r="F678" t="str">
        <f>"0001001"</f>
        <v>0001001</v>
      </c>
      <c r="G678">
        <v>1</v>
      </c>
      <c r="H678" t="str">
        <f>"00000000"</f>
        <v>00000000</v>
      </c>
      <c r="I678" t="s">
        <v>35</v>
      </c>
      <c r="J678"/>
      <c r="K678">
        <v>7.63</v>
      </c>
      <c r="L678">
        <v>0.0</v>
      </c>
      <c r="M678"/>
      <c r="N678"/>
      <c r="O678">
        <v>1.37</v>
      </c>
      <c r="P678">
        <v>0.0</v>
      </c>
      <c r="Q678">
        <v>9.0</v>
      </c>
      <c r="R678"/>
      <c r="S678"/>
      <c r="T678"/>
      <c r="U678"/>
      <c r="V678"/>
      <c r="W678">
        <v>18</v>
      </c>
    </row>
    <row r="679" spans="1:23">
      <c r="A679"/>
      <c r="B679" t="s">
        <v>48</v>
      </c>
      <c r="C679" t="s">
        <v>48</v>
      </c>
      <c r="D679" t="s">
        <v>33</v>
      </c>
      <c r="E679" t="s">
        <v>34</v>
      </c>
      <c r="F679" t="str">
        <f>"0001002"</f>
        <v>0001002</v>
      </c>
      <c r="G679">
        <v>1</v>
      </c>
      <c r="H679" t="str">
        <f>"00000000"</f>
        <v>00000000</v>
      </c>
      <c r="I679" t="s">
        <v>35</v>
      </c>
      <c r="J679"/>
      <c r="K679">
        <v>18.31</v>
      </c>
      <c r="L679">
        <v>0.0</v>
      </c>
      <c r="M679"/>
      <c r="N679"/>
      <c r="O679">
        <v>3.29</v>
      </c>
      <c r="P679">
        <v>0.2</v>
      </c>
      <c r="Q679">
        <v>21.8</v>
      </c>
      <c r="R679"/>
      <c r="S679"/>
      <c r="T679"/>
      <c r="U679"/>
      <c r="V679"/>
      <c r="W679">
        <v>18</v>
      </c>
    </row>
    <row r="680" spans="1:23">
      <c r="A680"/>
      <c r="B680" t="s">
        <v>48</v>
      </c>
      <c r="C680" t="s">
        <v>48</v>
      </c>
      <c r="D680" t="s">
        <v>33</v>
      </c>
      <c r="E680" t="s">
        <v>34</v>
      </c>
      <c r="F680" t="str">
        <f>"0001003"</f>
        <v>0001003</v>
      </c>
      <c r="G680">
        <v>1</v>
      </c>
      <c r="H680" t="str">
        <f>"00000000"</f>
        <v>00000000</v>
      </c>
      <c r="I680" t="s">
        <v>35</v>
      </c>
      <c r="J680"/>
      <c r="K680">
        <v>14.32</v>
      </c>
      <c r="L680">
        <v>0.0</v>
      </c>
      <c r="M680"/>
      <c r="N680"/>
      <c r="O680">
        <v>2.58</v>
      </c>
      <c r="P680">
        <v>0.0</v>
      </c>
      <c r="Q680">
        <v>16.9</v>
      </c>
      <c r="R680"/>
      <c r="S680"/>
      <c r="T680"/>
      <c r="U680"/>
      <c r="V680"/>
      <c r="W680">
        <v>18</v>
      </c>
    </row>
    <row r="681" spans="1:23">
      <c r="A681"/>
      <c r="B681" t="s">
        <v>48</v>
      </c>
      <c r="C681" t="s">
        <v>48</v>
      </c>
      <c r="D681" t="s">
        <v>33</v>
      </c>
      <c r="E681" t="s">
        <v>34</v>
      </c>
      <c r="F681" t="str">
        <f>"0001004"</f>
        <v>0001004</v>
      </c>
      <c r="G681">
        <v>1</v>
      </c>
      <c r="H681" t="str">
        <f>"00000000"</f>
        <v>00000000</v>
      </c>
      <c r="I681" t="s">
        <v>35</v>
      </c>
      <c r="J681"/>
      <c r="K681">
        <v>14.41</v>
      </c>
      <c r="L681">
        <v>0.0</v>
      </c>
      <c r="M681"/>
      <c r="N681"/>
      <c r="O681">
        <v>2.59</v>
      </c>
      <c r="P681">
        <v>0.0</v>
      </c>
      <c r="Q681">
        <v>17.0</v>
      </c>
      <c r="R681"/>
      <c r="S681"/>
      <c r="T681"/>
      <c r="U681"/>
      <c r="V681"/>
      <c r="W681">
        <v>18</v>
      </c>
    </row>
    <row r="682" spans="1:23">
      <c r="A682"/>
      <c r="B682" t="s">
        <v>48</v>
      </c>
      <c r="C682" t="s">
        <v>48</v>
      </c>
      <c r="D682" t="s">
        <v>33</v>
      </c>
      <c r="E682" t="s">
        <v>34</v>
      </c>
      <c r="F682" t="str">
        <f>"0001005"</f>
        <v>0001005</v>
      </c>
      <c r="G682">
        <v>1</v>
      </c>
      <c r="H682" t="str">
        <f>"00000000"</f>
        <v>00000000</v>
      </c>
      <c r="I682" t="s">
        <v>35</v>
      </c>
      <c r="J682"/>
      <c r="K682">
        <v>16.19</v>
      </c>
      <c r="L682">
        <v>0.0</v>
      </c>
      <c r="M682"/>
      <c r="N682"/>
      <c r="O682">
        <v>2.91</v>
      </c>
      <c r="P682">
        <v>0.2</v>
      </c>
      <c r="Q682">
        <v>19.3</v>
      </c>
      <c r="R682"/>
      <c r="S682"/>
      <c r="T682"/>
      <c r="U682"/>
      <c r="V682"/>
      <c r="W682">
        <v>18</v>
      </c>
    </row>
    <row r="683" spans="1:23">
      <c r="A683"/>
      <c r="B683" t="s">
        <v>48</v>
      </c>
      <c r="C683" t="s">
        <v>48</v>
      </c>
      <c r="D683" t="s">
        <v>36</v>
      </c>
      <c r="E683" t="s">
        <v>37</v>
      </c>
      <c r="F683" t="str">
        <f>"0000023"</f>
        <v>0000023</v>
      </c>
      <c r="G683">
        <v>6</v>
      </c>
      <c r="H683" t="str">
        <f>"20603067437"</f>
        <v>20603067437</v>
      </c>
      <c r="I683" t="s">
        <v>51</v>
      </c>
      <c r="J683"/>
      <c r="K683">
        <v>9.99</v>
      </c>
      <c r="L683">
        <v>0.0</v>
      </c>
      <c r="M683"/>
      <c r="N683"/>
      <c r="O683">
        <v>1.8</v>
      </c>
      <c r="P683">
        <v>0.2</v>
      </c>
      <c r="Q683">
        <v>11.99</v>
      </c>
      <c r="R683"/>
      <c r="S683"/>
      <c r="T683"/>
      <c r="U683"/>
      <c r="V683"/>
      <c r="W683">
        <v>18</v>
      </c>
    </row>
    <row r="684" spans="1:23">
      <c r="A684"/>
      <c r="B684" t="s">
        <v>48</v>
      </c>
      <c r="C684" t="s">
        <v>48</v>
      </c>
      <c r="D684" t="s">
        <v>33</v>
      </c>
      <c r="E684" t="s">
        <v>34</v>
      </c>
      <c r="F684" t="str">
        <f>"0001006"</f>
        <v>0001006</v>
      </c>
      <c r="G684">
        <v>1</v>
      </c>
      <c r="H684" t="str">
        <f>"00000000"</f>
        <v>00000000</v>
      </c>
      <c r="I684" t="s">
        <v>35</v>
      </c>
      <c r="J684"/>
      <c r="K684">
        <v>11.03</v>
      </c>
      <c r="L684">
        <v>0.0</v>
      </c>
      <c r="M684"/>
      <c r="N684"/>
      <c r="O684">
        <v>1.99</v>
      </c>
      <c r="P684">
        <v>0.2</v>
      </c>
      <c r="Q684">
        <v>13.22</v>
      </c>
      <c r="R684"/>
      <c r="S684"/>
      <c r="T684"/>
      <c r="U684"/>
      <c r="V684"/>
      <c r="W684">
        <v>18</v>
      </c>
    </row>
    <row r="685" spans="1:23">
      <c r="A685"/>
      <c r="B685" t="s">
        <v>48</v>
      </c>
      <c r="C685" t="s">
        <v>48</v>
      </c>
      <c r="D685" t="s">
        <v>33</v>
      </c>
      <c r="E685" t="s">
        <v>34</v>
      </c>
      <c r="F685" t="str">
        <f>"0001007"</f>
        <v>0001007</v>
      </c>
      <c r="G685">
        <v>1</v>
      </c>
      <c r="H685" t="str">
        <f>"00000000"</f>
        <v>00000000</v>
      </c>
      <c r="I685" t="s">
        <v>35</v>
      </c>
      <c r="J685"/>
      <c r="K685">
        <v>11.02</v>
      </c>
      <c r="L685">
        <v>0.0</v>
      </c>
      <c r="M685"/>
      <c r="N685"/>
      <c r="O685">
        <v>1.98</v>
      </c>
      <c r="P685">
        <v>0.0</v>
      </c>
      <c r="Q685">
        <v>13.0</v>
      </c>
      <c r="R685"/>
      <c r="S685"/>
      <c r="T685"/>
      <c r="U685"/>
      <c r="V685"/>
      <c r="W685">
        <v>18</v>
      </c>
    </row>
    <row r="686" spans="1:23">
      <c r="A686"/>
      <c r="B686" t="s">
        <v>48</v>
      </c>
      <c r="C686" t="s">
        <v>48</v>
      </c>
      <c r="D686" t="s">
        <v>33</v>
      </c>
      <c r="E686" t="s">
        <v>34</v>
      </c>
      <c r="F686" t="str">
        <f>"0001008"</f>
        <v>0001008</v>
      </c>
      <c r="G686">
        <v>1</v>
      </c>
      <c r="H686" t="str">
        <f>"00000000"</f>
        <v>00000000</v>
      </c>
      <c r="I686" t="s">
        <v>35</v>
      </c>
      <c r="J686"/>
      <c r="K686">
        <v>12.14</v>
      </c>
      <c r="L686">
        <v>0.0</v>
      </c>
      <c r="M686"/>
      <c r="N686"/>
      <c r="O686">
        <v>2.19</v>
      </c>
      <c r="P686">
        <v>0.0</v>
      </c>
      <c r="Q686">
        <v>14.33</v>
      </c>
      <c r="R686"/>
      <c r="S686"/>
      <c r="T686"/>
      <c r="U686"/>
      <c r="V686"/>
      <c r="W686">
        <v>18</v>
      </c>
    </row>
    <row r="687" spans="1:23">
      <c r="A687"/>
      <c r="B687" t="s">
        <v>48</v>
      </c>
      <c r="C687" t="s">
        <v>48</v>
      </c>
      <c r="D687" t="s">
        <v>33</v>
      </c>
      <c r="E687" t="s">
        <v>34</v>
      </c>
      <c r="F687" t="str">
        <f>"0001009"</f>
        <v>0001009</v>
      </c>
      <c r="G687">
        <v>1</v>
      </c>
      <c r="H687" t="str">
        <f>"00000000"</f>
        <v>00000000</v>
      </c>
      <c r="I687" t="s">
        <v>35</v>
      </c>
      <c r="J687"/>
      <c r="K687">
        <v>3.99</v>
      </c>
      <c r="L687">
        <v>0.0</v>
      </c>
      <c r="M687"/>
      <c r="N687"/>
      <c r="O687">
        <v>0.72</v>
      </c>
      <c r="P687">
        <v>0.0</v>
      </c>
      <c r="Q687">
        <v>4.71</v>
      </c>
      <c r="R687"/>
      <c r="S687"/>
      <c r="T687"/>
      <c r="U687"/>
      <c r="V687"/>
      <c r="W687">
        <v>18</v>
      </c>
    </row>
    <row r="688" spans="1:23">
      <c r="A688"/>
      <c r="B688" t="s">
        <v>48</v>
      </c>
      <c r="C688" t="s">
        <v>48</v>
      </c>
      <c r="D688" t="s">
        <v>33</v>
      </c>
      <c r="E688" t="s">
        <v>34</v>
      </c>
      <c r="F688" t="str">
        <f>"0001010"</f>
        <v>0001010</v>
      </c>
      <c r="G688">
        <v>1</v>
      </c>
      <c r="H688" t="str">
        <f>"00000000"</f>
        <v>00000000</v>
      </c>
      <c r="I688" t="s">
        <v>35</v>
      </c>
      <c r="J688"/>
      <c r="K688">
        <v>35.42</v>
      </c>
      <c r="L688">
        <v>0.0</v>
      </c>
      <c r="M688"/>
      <c r="N688"/>
      <c r="O688">
        <v>6.38</v>
      </c>
      <c r="P688">
        <v>0.0</v>
      </c>
      <c r="Q688">
        <v>41.8</v>
      </c>
      <c r="R688"/>
      <c r="S688"/>
      <c r="T688"/>
      <c r="U688"/>
      <c r="V688"/>
      <c r="W688">
        <v>18</v>
      </c>
    </row>
    <row r="689" spans="1:23">
      <c r="A689"/>
      <c r="B689" t="s">
        <v>48</v>
      </c>
      <c r="C689" t="s">
        <v>48</v>
      </c>
      <c r="D689" t="s">
        <v>33</v>
      </c>
      <c r="E689" t="s">
        <v>34</v>
      </c>
      <c r="F689" t="str">
        <f>"0001011"</f>
        <v>0001011</v>
      </c>
      <c r="G689">
        <v>1</v>
      </c>
      <c r="H689" t="str">
        <f>"00000000"</f>
        <v>00000000</v>
      </c>
      <c r="I689" t="s">
        <v>35</v>
      </c>
      <c r="J689"/>
      <c r="K689">
        <v>4.15</v>
      </c>
      <c r="L689">
        <v>0.0</v>
      </c>
      <c r="M689"/>
      <c r="N689"/>
      <c r="O689">
        <v>0.75</v>
      </c>
      <c r="P689">
        <v>0.0</v>
      </c>
      <c r="Q689">
        <v>4.9</v>
      </c>
      <c r="R689"/>
      <c r="S689"/>
      <c r="T689"/>
      <c r="U689"/>
      <c r="V689"/>
      <c r="W689">
        <v>18</v>
      </c>
    </row>
    <row r="690" spans="1:23">
      <c r="A690"/>
      <c r="B690" t="s">
        <v>48</v>
      </c>
      <c r="C690" t="s">
        <v>48</v>
      </c>
      <c r="D690" t="s">
        <v>33</v>
      </c>
      <c r="E690" t="s">
        <v>34</v>
      </c>
      <c r="F690" t="str">
        <f>"0001012"</f>
        <v>0001012</v>
      </c>
      <c r="G690">
        <v>1</v>
      </c>
      <c r="H690" t="str">
        <f>"00000000"</f>
        <v>00000000</v>
      </c>
      <c r="I690" t="s">
        <v>35</v>
      </c>
      <c r="J690"/>
      <c r="K690">
        <v>10.19</v>
      </c>
      <c r="L690">
        <v>0.0</v>
      </c>
      <c r="M690"/>
      <c r="N690"/>
      <c r="O690">
        <v>1.83</v>
      </c>
      <c r="P690">
        <v>0.2</v>
      </c>
      <c r="Q690">
        <v>12.22</v>
      </c>
      <c r="R690"/>
      <c r="S690"/>
      <c r="T690"/>
      <c r="U690"/>
      <c r="V690"/>
      <c r="W690">
        <v>18</v>
      </c>
    </row>
    <row r="691" spans="1:23">
      <c r="A691"/>
      <c r="B691" t="s">
        <v>48</v>
      </c>
      <c r="C691" t="s">
        <v>48</v>
      </c>
      <c r="D691" t="s">
        <v>33</v>
      </c>
      <c r="E691" t="s">
        <v>34</v>
      </c>
      <c r="F691" t="str">
        <f>"0001013"</f>
        <v>0001013</v>
      </c>
      <c r="G691">
        <v>1</v>
      </c>
      <c r="H691" t="str">
        <f>"00000000"</f>
        <v>00000000</v>
      </c>
      <c r="I691" t="s">
        <v>35</v>
      </c>
      <c r="J691"/>
      <c r="K691">
        <v>83.8</v>
      </c>
      <c r="L691">
        <v>0.0</v>
      </c>
      <c r="M691"/>
      <c r="N691"/>
      <c r="O691">
        <v>15.08</v>
      </c>
      <c r="P691">
        <v>0.2</v>
      </c>
      <c r="Q691">
        <v>99.08</v>
      </c>
      <c r="R691"/>
      <c r="S691"/>
      <c r="T691"/>
      <c r="U691"/>
      <c r="V691"/>
      <c r="W691">
        <v>18</v>
      </c>
    </row>
    <row r="692" spans="1:23">
      <c r="A692"/>
      <c r="B692" t="s">
        <v>48</v>
      </c>
      <c r="C692" t="s">
        <v>48</v>
      </c>
      <c r="D692" t="s">
        <v>33</v>
      </c>
      <c r="E692" t="s">
        <v>34</v>
      </c>
      <c r="F692" t="str">
        <f>"0001014"</f>
        <v>0001014</v>
      </c>
      <c r="G692">
        <v>1</v>
      </c>
      <c r="H692" t="str">
        <f>"00000000"</f>
        <v>00000000</v>
      </c>
      <c r="I692" t="s">
        <v>35</v>
      </c>
      <c r="J692"/>
      <c r="K692">
        <v>8.9</v>
      </c>
      <c r="L692">
        <v>0.0</v>
      </c>
      <c r="M692"/>
      <c r="N692"/>
      <c r="O692">
        <v>1.6</v>
      </c>
      <c r="P692">
        <v>0.0</v>
      </c>
      <c r="Q692">
        <v>10.5</v>
      </c>
      <c r="R692"/>
      <c r="S692"/>
      <c r="T692"/>
      <c r="U692"/>
      <c r="V692"/>
      <c r="W692">
        <v>18</v>
      </c>
    </row>
    <row r="693" spans="1:23">
      <c r="A693"/>
      <c r="B693" t="s">
        <v>48</v>
      </c>
      <c r="C693" t="s">
        <v>48</v>
      </c>
      <c r="D693" t="s">
        <v>33</v>
      </c>
      <c r="E693" t="s">
        <v>34</v>
      </c>
      <c r="F693" t="str">
        <f>"0001015"</f>
        <v>0001015</v>
      </c>
      <c r="G693">
        <v>1</v>
      </c>
      <c r="H693" t="str">
        <f>"00000000"</f>
        <v>00000000</v>
      </c>
      <c r="I693" t="s">
        <v>35</v>
      </c>
      <c r="J693"/>
      <c r="K693">
        <v>7.63</v>
      </c>
      <c r="L693">
        <v>0.0</v>
      </c>
      <c r="M693"/>
      <c r="N693"/>
      <c r="O693">
        <v>1.37</v>
      </c>
      <c r="P693">
        <v>0.2</v>
      </c>
      <c r="Q693">
        <v>9.2</v>
      </c>
      <c r="R693"/>
      <c r="S693"/>
      <c r="T693"/>
      <c r="U693"/>
      <c r="V693"/>
      <c r="W693">
        <v>18</v>
      </c>
    </row>
    <row r="694" spans="1:23">
      <c r="A694"/>
      <c r="B694" t="s">
        <v>48</v>
      </c>
      <c r="C694" t="s">
        <v>48</v>
      </c>
      <c r="D694" t="s">
        <v>33</v>
      </c>
      <c r="E694" t="s">
        <v>34</v>
      </c>
      <c r="F694" t="str">
        <f>"0001016"</f>
        <v>0001016</v>
      </c>
      <c r="G694">
        <v>1</v>
      </c>
      <c r="H694" t="str">
        <f>"00000000"</f>
        <v>00000000</v>
      </c>
      <c r="I694" t="s">
        <v>35</v>
      </c>
      <c r="J694"/>
      <c r="K694">
        <v>11.02</v>
      </c>
      <c r="L694">
        <v>0.0</v>
      </c>
      <c r="M694"/>
      <c r="N694"/>
      <c r="O694">
        <v>1.98</v>
      </c>
      <c r="P694">
        <v>0.0</v>
      </c>
      <c r="Q694">
        <v>13.0</v>
      </c>
      <c r="R694"/>
      <c r="S694"/>
      <c r="T694"/>
      <c r="U694"/>
      <c r="V694"/>
      <c r="W694">
        <v>18</v>
      </c>
    </row>
    <row r="695" spans="1:23">
      <c r="A695"/>
      <c r="B695" t="s">
        <v>48</v>
      </c>
      <c r="C695" t="s">
        <v>48</v>
      </c>
      <c r="D695" t="s">
        <v>33</v>
      </c>
      <c r="E695" t="s">
        <v>34</v>
      </c>
      <c r="F695" t="str">
        <f>"0001017"</f>
        <v>0001017</v>
      </c>
      <c r="G695">
        <v>1</v>
      </c>
      <c r="H695" t="str">
        <f>"00000000"</f>
        <v>00000000</v>
      </c>
      <c r="I695" t="s">
        <v>35</v>
      </c>
      <c r="J695"/>
      <c r="K695">
        <v>55.64</v>
      </c>
      <c r="L695">
        <v>0.0</v>
      </c>
      <c r="M695"/>
      <c r="N695"/>
      <c r="O695">
        <v>10.01</v>
      </c>
      <c r="P695">
        <v>0.4</v>
      </c>
      <c r="Q695">
        <v>66.05</v>
      </c>
      <c r="R695"/>
      <c r="S695"/>
      <c r="T695"/>
      <c r="U695"/>
      <c r="V695"/>
      <c r="W695">
        <v>18</v>
      </c>
    </row>
    <row r="696" spans="1:23">
      <c r="A696"/>
      <c r="B696" t="s">
        <v>48</v>
      </c>
      <c r="C696" t="s">
        <v>48</v>
      </c>
      <c r="D696" t="s">
        <v>33</v>
      </c>
      <c r="E696" t="s">
        <v>34</v>
      </c>
      <c r="F696" t="str">
        <f>"0001018"</f>
        <v>0001018</v>
      </c>
      <c r="G696">
        <v>1</v>
      </c>
      <c r="H696" t="str">
        <f>"00000000"</f>
        <v>00000000</v>
      </c>
      <c r="I696" t="s">
        <v>35</v>
      </c>
      <c r="J696"/>
      <c r="K696">
        <v>5.51</v>
      </c>
      <c r="L696">
        <v>0.0</v>
      </c>
      <c r="M696"/>
      <c r="N696"/>
      <c r="O696">
        <v>0.99</v>
      </c>
      <c r="P696">
        <v>0.0</v>
      </c>
      <c r="Q696">
        <v>6.5</v>
      </c>
      <c r="R696"/>
      <c r="S696"/>
      <c r="T696"/>
      <c r="U696"/>
      <c r="V696"/>
      <c r="W696">
        <v>18</v>
      </c>
    </row>
    <row r="697" spans="1:23">
      <c r="A697"/>
      <c r="B697" t="s">
        <v>48</v>
      </c>
      <c r="C697" t="s">
        <v>48</v>
      </c>
      <c r="D697" t="s">
        <v>33</v>
      </c>
      <c r="E697" t="s">
        <v>34</v>
      </c>
      <c r="F697" t="str">
        <f>"0001019"</f>
        <v>0001019</v>
      </c>
      <c r="G697">
        <v>1</v>
      </c>
      <c r="H697" t="str">
        <f>"00000000"</f>
        <v>00000000</v>
      </c>
      <c r="I697" t="s">
        <v>35</v>
      </c>
      <c r="J697"/>
      <c r="K697">
        <v>10.17</v>
      </c>
      <c r="L697">
        <v>0.0</v>
      </c>
      <c r="M697"/>
      <c r="N697"/>
      <c r="O697">
        <v>1.83</v>
      </c>
      <c r="P697">
        <v>0.2</v>
      </c>
      <c r="Q697">
        <v>12.2</v>
      </c>
      <c r="R697"/>
      <c r="S697"/>
      <c r="T697"/>
      <c r="U697"/>
      <c r="V697"/>
      <c r="W697">
        <v>18</v>
      </c>
    </row>
    <row r="698" spans="1:23">
      <c r="A698"/>
      <c r="B698" t="s">
        <v>48</v>
      </c>
      <c r="C698" t="s">
        <v>48</v>
      </c>
      <c r="D698" t="s">
        <v>33</v>
      </c>
      <c r="E698" t="s">
        <v>34</v>
      </c>
      <c r="F698" t="str">
        <f>"0001020"</f>
        <v>0001020</v>
      </c>
      <c r="G698">
        <v>1</v>
      </c>
      <c r="H698" t="str">
        <f>"00000000"</f>
        <v>00000000</v>
      </c>
      <c r="I698" t="s">
        <v>35</v>
      </c>
      <c r="J698"/>
      <c r="K698">
        <v>60.67</v>
      </c>
      <c r="L698">
        <v>0.0</v>
      </c>
      <c r="M698"/>
      <c r="N698"/>
      <c r="O698">
        <v>10.92</v>
      </c>
      <c r="P698">
        <v>0.0</v>
      </c>
      <c r="Q698">
        <v>71.59</v>
      </c>
      <c r="R698"/>
      <c r="S698"/>
      <c r="T698"/>
      <c r="U698"/>
      <c r="V698"/>
      <c r="W698">
        <v>18</v>
      </c>
    </row>
    <row r="699" spans="1:23">
      <c r="A699"/>
      <c r="B699" t="s">
        <v>48</v>
      </c>
      <c r="C699" t="s">
        <v>48</v>
      </c>
      <c r="D699" t="s">
        <v>33</v>
      </c>
      <c r="E699" t="s">
        <v>34</v>
      </c>
      <c r="F699" t="str">
        <f>"0001021"</f>
        <v>0001021</v>
      </c>
      <c r="G699">
        <v>1</v>
      </c>
      <c r="H699" t="str">
        <f>"00000000"</f>
        <v>00000000</v>
      </c>
      <c r="I699" t="s">
        <v>35</v>
      </c>
      <c r="J699"/>
      <c r="K699">
        <v>16.19</v>
      </c>
      <c r="L699">
        <v>0.0</v>
      </c>
      <c r="M699"/>
      <c r="N699"/>
      <c r="O699">
        <v>2.91</v>
      </c>
      <c r="P699">
        <v>0.2</v>
      </c>
      <c r="Q699">
        <v>19.3</v>
      </c>
      <c r="R699"/>
      <c r="S699"/>
      <c r="T699"/>
      <c r="U699"/>
      <c r="V699"/>
      <c r="W699">
        <v>18</v>
      </c>
    </row>
    <row r="700" spans="1:23">
      <c r="A700"/>
      <c r="B700" t="s">
        <v>48</v>
      </c>
      <c r="C700" t="s">
        <v>48</v>
      </c>
      <c r="D700" t="s">
        <v>33</v>
      </c>
      <c r="E700" t="s">
        <v>34</v>
      </c>
      <c r="F700" t="str">
        <f>"0001022"</f>
        <v>0001022</v>
      </c>
      <c r="G700">
        <v>1</v>
      </c>
      <c r="H700" t="str">
        <f>"00000000"</f>
        <v>00000000</v>
      </c>
      <c r="I700" t="s">
        <v>35</v>
      </c>
      <c r="J700"/>
      <c r="K700">
        <v>10.34</v>
      </c>
      <c r="L700">
        <v>0.0</v>
      </c>
      <c r="M700"/>
      <c r="N700"/>
      <c r="O700">
        <v>1.86</v>
      </c>
      <c r="P700">
        <v>0.2</v>
      </c>
      <c r="Q700">
        <v>12.4</v>
      </c>
      <c r="R700"/>
      <c r="S700"/>
      <c r="T700"/>
      <c r="U700"/>
      <c r="V700"/>
      <c r="W700">
        <v>18</v>
      </c>
    </row>
    <row r="701" spans="1:23">
      <c r="A701"/>
      <c r="B701" t="s">
        <v>48</v>
      </c>
      <c r="C701" t="s">
        <v>48</v>
      </c>
      <c r="D701" t="s">
        <v>33</v>
      </c>
      <c r="E701" t="s">
        <v>34</v>
      </c>
      <c r="F701" t="str">
        <f>"0001023"</f>
        <v>0001023</v>
      </c>
      <c r="G701">
        <v>1</v>
      </c>
      <c r="H701" t="str">
        <f>"00000000"</f>
        <v>00000000</v>
      </c>
      <c r="I701" t="s">
        <v>35</v>
      </c>
      <c r="J701"/>
      <c r="K701">
        <v>7.88</v>
      </c>
      <c r="L701">
        <v>0.0</v>
      </c>
      <c r="M701"/>
      <c r="N701"/>
      <c r="O701">
        <v>1.42</v>
      </c>
      <c r="P701">
        <v>0.0</v>
      </c>
      <c r="Q701">
        <v>9.29</v>
      </c>
      <c r="R701"/>
      <c r="S701"/>
      <c r="T701"/>
      <c r="U701"/>
      <c r="V701"/>
      <c r="W701">
        <v>18</v>
      </c>
    </row>
    <row r="702" spans="1:23">
      <c r="A702"/>
      <c r="B702" t="s">
        <v>48</v>
      </c>
      <c r="C702" t="s">
        <v>48</v>
      </c>
      <c r="D702" t="s">
        <v>33</v>
      </c>
      <c r="E702" t="s">
        <v>34</v>
      </c>
      <c r="F702" t="str">
        <f>"0001024"</f>
        <v>0001024</v>
      </c>
      <c r="G702">
        <v>1</v>
      </c>
      <c r="H702" t="str">
        <f>"00000000"</f>
        <v>00000000</v>
      </c>
      <c r="I702" t="s">
        <v>35</v>
      </c>
      <c r="J702"/>
      <c r="K702">
        <v>4.92</v>
      </c>
      <c r="L702">
        <v>0.0</v>
      </c>
      <c r="M702"/>
      <c r="N702"/>
      <c r="O702">
        <v>0.88</v>
      </c>
      <c r="P702">
        <v>0.0</v>
      </c>
      <c r="Q702">
        <v>5.8</v>
      </c>
      <c r="R702"/>
      <c r="S702"/>
      <c r="T702"/>
      <c r="U702"/>
      <c r="V702"/>
      <c r="W702">
        <v>18</v>
      </c>
    </row>
    <row r="703" spans="1:23">
      <c r="A703"/>
      <c r="B703" t="s">
        <v>48</v>
      </c>
      <c r="C703" t="s">
        <v>48</v>
      </c>
      <c r="D703" t="s">
        <v>33</v>
      </c>
      <c r="E703" t="s">
        <v>34</v>
      </c>
      <c r="F703" t="str">
        <f>"0001025"</f>
        <v>0001025</v>
      </c>
      <c r="G703">
        <v>1</v>
      </c>
      <c r="H703" t="str">
        <f>"00000000"</f>
        <v>00000000</v>
      </c>
      <c r="I703" t="s">
        <v>35</v>
      </c>
      <c r="J703"/>
      <c r="K703">
        <v>11.24</v>
      </c>
      <c r="L703">
        <v>0.0</v>
      </c>
      <c r="M703"/>
      <c r="N703"/>
      <c r="O703">
        <v>2.02</v>
      </c>
      <c r="P703">
        <v>0.0</v>
      </c>
      <c r="Q703">
        <v>13.27</v>
      </c>
      <c r="R703"/>
      <c r="S703"/>
      <c r="T703"/>
      <c r="U703"/>
      <c r="V703"/>
      <c r="W703">
        <v>18</v>
      </c>
    </row>
    <row r="704" spans="1:23">
      <c r="A704"/>
      <c r="B704" t="s">
        <v>48</v>
      </c>
      <c r="C704" t="s">
        <v>48</v>
      </c>
      <c r="D704" t="s">
        <v>33</v>
      </c>
      <c r="E704" t="s">
        <v>34</v>
      </c>
      <c r="F704" t="str">
        <f>"0001026"</f>
        <v>0001026</v>
      </c>
      <c r="G704">
        <v>1</v>
      </c>
      <c r="H704" t="str">
        <f>"00000000"</f>
        <v>00000000</v>
      </c>
      <c r="I704" t="s">
        <v>35</v>
      </c>
      <c r="J704"/>
      <c r="K704">
        <v>3.58</v>
      </c>
      <c r="L704">
        <v>0.0</v>
      </c>
      <c r="M704"/>
      <c r="N704"/>
      <c r="O704">
        <v>0.64</v>
      </c>
      <c r="P704">
        <v>0.0</v>
      </c>
      <c r="Q704">
        <v>4.23</v>
      </c>
      <c r="R704"/>
      <c r="S704"/>
      <c r="T704"/>
      <c r="U704"/>
      <c r="V704"/>
      <c r="W704">
        <v>18</v>
      </c>
    </row>
    <row r="705" spans="1:23">
      <c r="A705"/>
      <c r="B705" t="s">
        <v>48</v>
      </c>
      <c r="C705" t="s">
        <v>48</v>
      </c>
      <c r="D705" t="s">
        <v>33</v>
      </c>
      <c r="E705" t="s">
        <v>34</v>
      </c>
      <c r="F705" t="str">
        <f>"0001027"</f>
        <v>0001027</v>
      </c>
      <c r="G705">
        <v>1</v>
      </c>
      <c r="H705" t="str">
        <f>"00000000"</f>
        <v>00000000</v>
      </c>
      <c r="I705" t="s">
        <v>35</v>
      </c>
      <c r="J705"/>
      <c r="K705">
        <v>26.78</v>
      </c>
      <c r="L705">
        <v>0.0</v>
      </c>
      <c r="M705"/>
      <c r="N705"/>
      <c r="O705">
        <v>4.82</v>
      </c>
      <c r="P705">
        <v>0.2</v>
      </c>
      <c r="Q705">
        <v>31.8</v>
      </c>
      <c r="R705"/>
      <c r="S705"/>
      <c r="T705"/>
      <c r="U705"/>
      <c r="V705"/>
      <c r="W705">
        <v>18</v>
      </c>
    </row>
    <row r="706" spans="1:23">
      <c r="A706"/>
      <c r="B706" t="s">
        <v>48</v>
      </c>
      <c r="C706" t="s">
        <v>48</v>
      </c>
      <c r="D706" t="s">
        <v>33</v>
      </c>
      <c r="E706" t="s">
        <v>34</v>
      </c>
      <c r="F706" t="str">
        <f>"0001028"</f>
        <v>0001028</v>
      </c>
      <c r="G706">
        <v>1</v>
      </c>
      <c r="H706" t="str">
        <f>"00000000"</f>
        <v>00000000</v>
      </c>
      <c r="I706" t="s">
        <v>35</v>
      </c>
      <c r="J706"/>
      <c r="K706">
        <v>27.27</v>
      </c>
      <c r="L706">
        <v>0.0</v>
      </c>
      <c r="M706"/>
      <c r="N706"/>
      <c r="O706">
        <v>4.91</v>
      </c>
      <c r="P706">
        <v>0.0</v>
      </c>
      <c r="Q706">
        <v>32.18</v>
      </c>
      <c r="R706"/>
      <c r="S706"/>
      <c r="T706"/>
      <c r="U706"/>
      <c r="V706"/>
      <c r="W706">
        <v>18</v>
      </c>
    </row>
    <row r="707" spans="1:23">
      <c r="A707"/>
      <c r="B707" t="s">
        <v>48</v>
      </c>
      <c r="C707" t="s">
        <v>48</v>
      </c>
      <c r="D707" t="s">
        <v>33</v>
      </c>
      <c r="E707" t="s">
        <v>34</v>
      </c>
      <c r="F707" t="str">
        <f>"0001029"</f>
        <v>0001029</v>
      </c>
      <c r="G707">
        <v>1</v>
      </c>
      <c r="H707" t="str">
        <f>"00000000"</f>
        <v>00000000</v>
      </c>
      <c r="I707" t="s">
        <v>35</v>
      </c>
      <c r="J707"/>
      <c r="K707">
        <v>16.78</v>
      </c>
      <c r="L707">
        <v>0.0</v>
      </c>
      <c r="M707"/>
      <c r="N707"/>
      <c r="O707">
        <v>3.02</v>
      </c>
      <c r="P707">
        <v>0.0</v>
      </c>
      <c r="Q707">
        <v>19.8</v>
      </c>
      <c r="R707"/>
      <c r="S707"/>
      <c r="T707"/>
      <c r="U707"/>
      <c r="V707"/>
      <c r="W707">
        <v>18</v>
      </c>
    </row>
    <row r="708" spans="1:23">
      <c r="A708"/>
      <c r="B708" t="s">
        <v>48</v>
      </c>
      <c r="C708" t="s">
        <v>48</v>
      </c>
      <c r="D708" t="s">
        <v>33</v>
      </c>
      <c r="E708" t="s">
        <v>34</v>
      </c>
      <c r="F708" t="str">
        <f>"0001030"</f>
        <v>0001030</v>
      </c>
      <c r="G708">
        <v>1</v>
      </c>
      <c r="H708" t="str">
        <f>"00000000"</f>
        <v>00000000</v>
      </c>
      <c r="I708" t="s">
        <v>35</v>
      </c>
      <c r="J708"/>
      <c r="K708">
        <v>8.45</v>
      </c>
      <c r="L708">
        <v>0.0</v>
      </c>
      <c r="M708"/>
      <c r="N708"/>
      <c r="O708">
        <v>1.52</v>
      </c>
      <c r="P708">
        <v>0.0</v>
      </c>
      <c r="Q708">
        <v>9.97</v>
      </c>
      <c r="R708"/>
      <c r="S708"/>
      <c r="T708"/>
      <c r="U708"/>
      <c r="V708"/>
      <c r="W708">
        <v>18</v>
      </c>
    </row>
    <row r="709" spans="1:23">
      <c r="A709"/>
      <c r="B709" t="s">
        <v>48</v>
      </c>
      <c r="C709" t="s">
        <v>48</v>
      </c>
      <c r="D709" t="s">
        <v>33</v>
      </c>
      <c r="E709" t="s">
        <v>34</v>
      </c>
      <c r="F709" t="str">
        <f>"0001031"</f>
        <v>0001031</v>
      </c>
      <c r="G709">
        <v>1</v>
      </c>
      <c r="H709" t="str">
        <f>"00000000"</f>
        <v>00000000</v>
      </c>
      <c r="I709" t="s">
        <v>35</v>
      </c>
      <c r="J709"/>
      <c r="K709">
        <v>43.99</v>
      </c>
      <c r="L709">
        <v>0.0</v>
      </c>
      <c r="M709"/>
      <c r="N709"/>
      <c r="O709">
        <v>7.92</v>
      </c>
      <c r="P709">
        <v>0.0</v>
      </c>
      <c r="Q709">
        <v>51.91</v>
      </c>
      <c r="R709"/>
      <c r="S709"/>
      <c r="T709"/>
      <c r="U709"/>
      <c r="V709"/>
      <c r="W709">
        <v>18</v>
      </c>
    </row>
    <row r="710" spans="1:23">
      <c r="A710"/>
      <c r="B710" t="s">
        <v>48</v>
      </c>
      <c r="C710" t="s">
        <v>48</v>
      </c>
      <c r="D710" t="s">
        <v>33</v>
      </c>
      <c r="E710" t="s">
        <v>34</v>
      </c>
      <c r="F710" t="str">
        <f>"0001032"</f>
        <v>0001032</v>
      </c>
      <c r="G710">
        <v>1</v>
      </c>
      <c r="H710" t="str">
        <f>"00000000"</f>
        <v>00000000</v>
      </c>
      <c r="I710" t="s">
        <v>35</v>
      </c>
      <c r="J710"/>
      <c r="K710">
        <v>12.71</v>
      </c>
      <c r="L710">
        <v>0.0</v>
      </c>
      <c r="M710"/>
      <c r="N710"/>
      <c r="O710">
        <v>2.29</v>
      </c>
      <c r="P710">
        <v>0.0</v>
      </c>
      <c r="Q710">
        <v>15.0</v>
      </c>
      <c r="R710"/>
      <c r="S710"/>
      <c r="T710"/>
      <c r="U710"/>
      <c r="V710"/>
      <c r="W710">
        <v>18</v>
      </c>
    </row>
    <row r="711" spans="1:23">
      <c r="A711"/>
      <c r="B711" t="s">
        <v>48</v>
      </c>
      <c r="C711" t="s">
        <v>48</v>
      </c>
      <c r="D711" t="s">
        <v>33</v>
      </c>
      <c r="E711" t="s">
        <v>34</v>
      </c>
      <c r="F711" t="str">
        <f>"0001033"</f>
        <v>0001033</v>
      </c>
      <c r="G711">
        <v>1</v>
      </c>
      <c r="H711" t="str">
        <f>"00000000"</f>
        <v>00000000</v>
      </c>
      <c r="I711" t="s">
        <v>35</v>
      </c>
      <c r="J711"/>
      <c r="K711">
        <v>37.96</v>
      </c>
      <c r="L711">
        <v>0.0</v>
      </c>
      <c r="M711"/>
      <c r="N711"/>
      <c r="O711">
        <v>6.83</v>
      </c>
      <c r="P711">
        <v>0.0</v>
      </c>
      <c r="Q711">
        <v>44.79</v>
      </c>
      <c r="R711"/>
      <c r="S711"/>
      <c r="T711"/>
      <c r="U711"/>
      <c r="V711"/>
      <c r="W711">
        <v>18</v>
      </c>
    </row>
    <row r="712" spans="1:23">
      <c r="A712"/>
      <c r="B712" t="s">
        <v>48</v>
      </c>
      <c r="C712" t="s">
        <v>48</v>
      </c>
      <c r="D712" t="s">
        <v>33</v>
      </c>
      <c r="E712" t="s">
        <v>34</v>
      </c>
      <c r="F712" t="str">
        <f>"0001034"</f>
        <v>0001034</v>
      </c>
      <c r="G712">
        <v>1</v>
      </c>
      <c r="H712" t="str">
        <f>"00000000"</f>
        <v>00000000</v>
      </c>
      <c r="I712" t="s">
        <v>35</v>
      </c>
      <c r="J712"/>
      <c r="K712">
        <v>19.92</v>
      </c>
      <c r="L712">
        <v>0.0</v>
      </c>
      <c r="M712"/>
      <c r="N712"/>
      <c r="O712">
        <v>3.58</v>
      </c>
      <c r="P712">
        <v>0.2</v>
      </c>
      <c r="Q712">
        <v>23.7</v>
      </c>
      <c r="R712"/>
      <c r="S712"/>
      <c r="T712"/>
      <c r="U712"/>
      <c r="V712"/>
      <c r="W712">
        <v>18</v>
      </c>
    </row>
    <row r="713" spans="1:23">
      <c r="A713"/>
      <c r="B713" t="s">
        <v>48</v>
      </c>
      <c r="C713" t="s">
        <v>48</v>
      </c>
      <c r="D713" t="s">
        <v>33</v>
      </c>
      <c r="E713" t="s">
        <v>34</v>
      </c>
      <c r="F713" t="str">
        <f>"0001035"</f>
        <v>0001035</v>
      </c>
      <c r="G713">
        <v>1</v>
      </c>
      <c r="H713" t="str">
        <f>"00000000"</f>
        <v>00000000</v>
      </c>
      <c r="I713" t="s">
        <v>35</v>
      </c>
      <c r="J713"/>
      <c r="K713">
        <v>43.31</v>
      </c>
      <c r="L713">
        <v>0.0</v>
      </c>
      <c r="M713"/>
      <c r="N713"/>
      <c r="O713">
        <v>7.79</v>
      </c>
      <c r="P713">
        <v>0.2</v>
      </c>
      <c r="Q713">
        <v>51.3</v>
      </c>
      <c r="R713"/>
      <c r="S713"/>
      <c r="T713"/>
      <c r="U713"/>
      <c r="V713"/>
      <c r="W713">
        <v>18</v>
      </c>
    </row>
    <row r="714" spans="1:23">
      <c r="A714"/>
      <c r="B714" t="s">
        <v>48</v>
      </c>
      <c r="C714" t="s">
        <v>48</v>
      </c>
      <c r="D714" t="s">
        <v>33</v>
      </c>
      <c r="E714" t="s">
        <v>34</v>
      </c>
      <c r="F714" t="str">
        <f>"0001036"</f>
        <v>0001036</v>
      </c>
      <c r="G714">
        <v>1</v>
      </c>
      <c r="H714" t="str">
        <f>"00000000"</f>
        <v>00000000</v>
      </c>
      <c r="I714" t="s">
        <v>35</v>
      </c>
      <c r="J714"/>
      <c r="K714">
        <v>8.39</v>
      </c>
      <c r="L714">
        <v>0.0</v>
      </c>
      <c r="M714"/>
      <c r="N714"/>
      <c r="O714">
        <v>1.51</v>
      </c>
      <c r="P714">
        <v>0.2</v>
      </c>
      <c r="Q714">
        <v>10.1</v>
      </c>
      <c r="R714"/>
      <c r="S714"/>
      <c r="T714"/>
      <c r="U714"/>
      <c r="V714"/>
      <c r="W714">
        <v>18</v>
      </c>
    </row>
    <row r="715" spans="1:23">
      <c r="A715"/>
      <c r="B715" t="s">
        <v>48</v>
      </c>
      <c r="C715" t="s">
        <v>48</v>
      </c>
      <c r="D715" t="s">
        <v>33</v>
      </c>
      <c r="E715" t="s">
        <v>34</v>
      </c>
      <c r="F715" t="str">
        <f>"0001037"</f>
        <v>0001037</v>
      </c>
      <c r="G715">
        <v>1</v>
      </c>
      <c r="H715" t="str">
        <f>"00000000"</f>
        <v>00000000</v>
      </c>
      <c r="I715" t="s">
        <v>35</v>
      </c>
      <c r="J715"/>
      <c r="K715">
        <v>24.58</v>
      </c>
      <c r="L715">
        <v>0.0</v>
      </c>
      <c r="M715"/>
      <c r="N715"/>
      <c r="O715">
        <v>4.42</v>
      </c>
      <c r="P715">
        <v>0.2</v>
      </c>
      <c r="Q715">
        <v>29.2</v>
      </c>
      <c r="R715"/>
      <c r="S715"/>
      <c r="T715"/>
      <c r="U715"/>
      <c r="V715"/>
      <c r="W715">
        <v>18</v>
      </c>
    </row>
    <row r="716" spans="1:23">
      <c r="A716"/>
      <c r="B716" t="s">
        <v>48</v>
      </c>
      <c r="C716" t="s">
        <v>48</v>
      </c>
      <c r="D716" t="s">
        <v>33</v>
      </c>
      <c r="E716" t="s">
        <v>34</v>
      </c>
      <c r="F716" t="str">
        <f>"0001038"</f>
        <v>0001038</v>
      </c>
      <c r="G716">
        <v>1</v>
      </c>
      <c r="H716" t="str">
        <f>"00000000"</f>
        <v>00000000</v>
      </c>
      <c r="I716" t="s">
        <v>35</v>
      </c>
      <c r="J716"/>
      <c r="K716">
        <v>3.31</v>
      </c>
      <c r="L716">
        <v>0.0</v>
      </c>
      <c r="M716"/>
      <c r="N716"/>
      <c r="O716">
        <v>0.59</v>
      </c>
      <c r="P716">
        <v>0.0</v>
      </c>
      <c r="Q716">
        <v>3.9</v>
      </c>
      <c r="R716"/>
      <c r="S716"/>
      <c r="T716"/>
      <c r="U716"/>
      <c r="V716"/>
      <c r="W716">
        <v>18</v>
      </c>
    </row>
    <row r="717" spans="1:23">
      <c r="A717"/>
      <c r="B717" t="s">
        <v>48</v>
      </c>
      <c r="C717" t="s">
        <v>48</v>
      </c>
      <c r="D717" t="s">
        <v>33</v>
      </c>
      <c r="E717" t="s">
        <v>34</v>
      </c>
      <c r="F717" t="str">
        <f>"0001039"</f>
        <v>0001039</v>
      </c>
      <c r="G717">
        <v>1</v>
      </c>
      <c r="H717" t="str">
        <f>"00000000"</f>
        <v>00000000</v>
      </c>
      <c r="I717" t="s">
        <v>35</v>
      </c>
      <c r="J717"/>
      <c r="K717">
        <v>8.9</v>
      </c>
      <c r="L717">
        <v>0.0</v>
      </c>
      <c r="M717"/>
      <c r="N717"/>
      <c r="O717">
        <v>1.6</v>
      </c>
      <c r="P717">
        <v>0.0</v>
      </c>
      <c r="Q717">
        <v>10.5</v>
      </c>
      <c r="R717"/>
      <c r="S717"/>
      <c r="T717"/>
      <c r="U717"/>
      <c r="V717"/>
      <c r="W717">
        <v>18</v>
      </c>
    </row>
    <row r="718" spans="1:23">
      <c r="A718"/>
      <c r="B718" t="s">
        <v>48</v>
      </c>
      <c r="C718" t="s">
        <v>48</v>
      </c>
      <c r="D718" t="s">
        <v>33</v>
      </c>
      <c r="E718" t="s">
        <v>34</v>
      </c>
      <c r="F718" t="str">
        <f>"0001040"</f>
        <v>0001040</v>
      </c>
      <c r="G718">
        <v>1</v>
      </c>
      <c r="H718" t="str">
        <f>"00000000"</f>
        <v>00000000</v>
      </c>
      <c r="I718" t="s">
        <v>35</v>
      </c>
      <c r="J718"/>
      <c r="K718">
        <v>52.69</v>
      </c>
      <c r="L718">
        <v>0.0</v>
      </c>
      <c r="M718"/>
      <c r="N718"/>
      <c r="O718">
        <v>9.48</v>
      </c>
      <c r="P718">
        <v>0.4</v>
      </c>
      <c r="Q718">
        <v>62.57</v>
      </c>
      <c r="R718"/>
      <c r="S718"/>
      <c r="T718"/>
      <c r="U718"/>
      <c r="V718"/>
      <c r="W718">
        <v>18</v>
      </c>
    </row>
    <row r="719" spans="1:23">
      <c r="A719"/>
      <c r="B719" t="s">
        <v>48</v>
      </c>
      <c r="C719" t="s">
        <v>48</v>
      </c>
      <c r="D719" t="s">
        <v>33</v>
      </c>
      <c r="E719" t="s">
        <v>34</v>
      </c>
      <c r="F719" t="str">
        <f>"0001041"</f>
        <v>0001041</v>
      </c>
      <c r="G719">
        <v>1</v>
      </c>
      <c r="H719" t="str">
        <f>"00000000"</f>
        <v>00000000</v>
      </c>
      <c r="I719" t="s">
        <v>35</v>
      </c>
      <c r="J719"/>
      <c r="K719">
        <v>34.32</v>
      </c>
      <c r="L719">
        <v>0.0</v>
      </c>
      <c r="M719"/>
      <c r="N719"/>
      <c r="O719">
        <v>6.18</v>
      </c>
      <c r="P719">
        <v>0.0</v>
      </c>
      <c r="Q719">
        <v>40.5</v>
      </c>
      <c r="R719"/>
      <c r="S719"/>
      <c r="T719"/>
      <c r="U719"/>
      <c r="V719"/>
      <c r="W719">
        <v>18</v>
      </c>
    </row>
    <row r="720" spans="1:23">
      <c r="A720"/>
      <c r="B720" t="s">
        <v>48</v>
      </c>
      <c r="C720" t="s">
        <v>48</v>
      </c>
      <c r="D720" t="s">
        <v>33</v>
      </c>
      <c r="E720" t="s">
        <v>34</v>
      </c>
      <c r="F720" t="str">
        <f>"0001042"</f>
        <v>0001042</v>
      </c>
      <c r="G720">
        <v>1</v>
      </c>
      <c r="H720" t="str">
        <f>"00000000"</f>
        <v>00000000</v>
      </c>
      <c r="I720" t="s">
        <v>35</v>
      </c>
      <c r="J720"/>
      <c r="K720">
        <v>45.85</v>
      </c>
      <c r="L720">
        <v>0.0</v>
      </c>
      <c r="M720"/>
      <c r="N720"/>
      <c r="O720">
        <v>8.25</v>
      </c>
      <c r="P720">
        <v>0.2</v>
      </c>
      <c r="Q720">
        <v>54.3</v>
      </c>
      <c r="R720"/>
      <c r="S720"/>
      <c r="T720"/>
      <c r="U720"/>
      <c r="V720"/>
      <c r="W720">
        <v>18</v>
      </c>
    </row>
    <row r="721" spans="1:23">
      <c r="A721"/>
      <c r="B721" t="s">
        <v>48</v>
      </c>
      <c r="C721" t="s">
        <v>48</v>
      </c>
      <c r="D721" t="s">
        <v>33</v>
      </c>
      <c r="E721" t="s">
        <v>34</v>
      </c>
      <c r="F721" t="str">
        <f>"0001043"</f>
        <v>0001043</v>
      </c>
      <c r="G721">
        <v>1</v>
      </c>
      <c r="H721" t="str">
        <f>"00000000"</f>
        <v>00000000</v>
      </c>
      <c r="I721" t="s">
        <v>35</v>
      </c>
      <c r="J721"/>
      <c r="K721">
        <v>0.08</v>
      </c>
      <c r="L721">
        <v>0.0</v>
      </c>
      <c r="M721"/>
      <c r="N721"/>
      <c r="O721">
        <v>0.02</v>
      </c>
      <c r="P721">
        <v>0.2</v>
      </c>
      <c r="Q721">
        <v>0.3</v>
      </c>
      <c r="R721"/>
      <c r="S721"/>
      <c r="T721"/>
      <c r="U721"/>
      <c r="V721"/>
      <c r="W721">
        <v>18</v>
      </c>
    </row>
    <row r="722" spans="1:23">
      <c r="A722"/>
      <c r="B722" t="s">
        <v>48</v>
      </c>
      <c r="C722" t="s">
        <v>48</v>
      </c>
      <c r="D722" t="s">
        <v>33</v>
      </c>
      <c r="E722" t="s">
        <v>34</v>
      </c>
      <c r="F722" t="str">
        <f>"0001044"</f>
        <v>0001044</v>
      </c>
      <c r="G722">
        <v>1</v>
      </c>
      <c r="H722" t="str">
        <f>"00000000"</f>
        <v>00000000</v>
      </c>
      <c r="I722" t="s">
        <v>35</v>
      </c>
      <c r="J722"/>
      <c r="K722">
        <v>52.69</v>
      </c>
      <c r="L722">
        <v>0.0</v>
      </c>
      <c r="M722"/>
      <c r="N722"/>
      <c r="O722">
        <v>9.48</v>
      </c>
      <c r="P722">
        <v>0.4</v>
      </c>
      <c r="Q722">
        <v>62.57</v>
      </c>
      <c r="R722"/>
      <c r="S722"/>
      <c r="T722"/>
      <c r="U722"/>
      <c r="V722"/>
      <c r="W722">
        <v>18</v>
      </c>
    </row>
    <row r="723" spans="1:23">
      <c r="A723"/>
      <c r="B723" t="s">
        <v>48</v>
      </c>
      <c r="C723" t="s">
        <v>48</v>
      </c>
      <c r="D723" t="s">
        <v>33</v>
      </c>
      <c r="E723" t="s">
        <v>34</v>
      </c>
      <c r="F723" t="str">
        <f>"0001045"</f>
        <v>0001045</v>
      </c>
      <c r="G723">
        <v>1</v>
      </c>
      <c r="H723" t="str">
        <f>"00000000"</f>
        <v>00000000</v>
      </c>
      <c r="I723" t="s">
        <v>35</v>
      </c>
      <c r="J723"/>
      <c r="K723">
        <v>27.2</v>
      </c>
      <c r="L723">
        <v>0.0</v>
      </c>
      <c r="M723"/>
      <c r="N723"/>
      <c r="O723">
        <v>4.9</v>
      </c>
      <c r="P723">
        <v>0.2</v>
      </c>
      <c r="Q723">
        <v>32.3</v>
      </c>
      <c r="R723"/>
      <c r="S723"/>
      <c r="T723"/>
      <c r="U723"/>
      <c r="V723"/>
      <c r="W723">
        <v>18</v>
      </c>
    </row>
    <row r="724" spans="1:23">
      <c r="A724"/>
      <c r="B724" t="s">
        <v>48</v>
      </c>
      <c r="C724" t="s">
        <v>48</v>
      </c>
      <c r="D724" t="s">
        <v>33</v>
      </c>
      <c r="E724" t="s">
        <v>34</v>
      </c>
      <c r="F724" t="str">
        <f>"0001046"</f>
        <v>0001046</v>
      </c>
      <c r="G724">
        <v>1</v>
      </c>
      <c r="H724" t="str">
        <f>"00000000"</f>
        <v>00000000</v>
      </c>
      <c r="I724" t="s">
        <v>35</v>
      </c>
      <c r="J724"/>
      <c r="K724">
        <v>3.98</v>
      </c>
      <c r="L724">
        <v>0.0</v>
      </c>
      <c r="M724"/>
      <c r="N724"/>
      <c r="O724">
        <v>0.72</v>
      </c>
      <c r="P724">
        <v>0.0</v>
      </c>
      <c r="Q724">
        <v>4.7</v>
      </c>
      <c r="R724"/>
      <c r="S724"/>
      <c r="T724"/>
      <c r="U724"/>
      <c r="V724"/>
      <c r="W724">
        <v>18</v>
      </c>
    </row>
    <row r="725" spans="1:23">
      <c r="A725"/>
      <c r="B725" t="s">
        <v>48</v>
      </c>
      <c r="C725" t="s">
        <v>48</v>
      </c>
      <c r="D725" t="s">
        <v>33</v>
      </c>
      <c r="E725" t="s">
        <v>34</v>
      </c>
      <c r="F725" t="str">
        <f>"0001047"</f>
        <v>0001047</v>
      </c>
      <c r="G725">
        <v>1</v>
      </c>
      <c r="H725" t="str">
        <f>"00000000"</f>
        <v>00000000</v>
      </c>
      <c r="I725" t="s">
        <v>35</v>
      </c>
      <c r="J725"/>
      <c r="K725">
        <v>5.53</v>
      </c>
      <c r="L725">
        <v>0.0</v>
      </c>
      <c r="M725"/>
      <c r="N725"/>
      <c r="O725">
        <v>0.99</v>
      </c>
      <c r="P725">
        <v>0.0</v>
      </c>
      <c r="Q725">
        <v>6.52</v>
      </c>
      <c r="R725"/>
      <c r="S725"/>
      <c r="T725"/>
      <c r="U725"/>
      <c r="V725"/>
      <c r="W725">
        <v>18</v>
      </c>
    </row>
    <row r="726" spans="1:23">
      <c r="A726"/>
      <c r="B726" t="s">
        <v>52</v>
      </c>
      <c r="C726" t="s">
        <v>52</v>
      </c>
      <c r="D726" t="s">
        <v>33</v>
      </c>
      <c r="E726" t="s">
        <v>34</v>
      </c>
      <c r="F726" t="str">
        <f>"0001048"</f>
        <v>0001048</v>
      </c>
      <c r="G726">
        <v>1</v>
      </c>
      <c r="H726" t="str">
        <f>"00000000"</f>
        <v>00000000</v>
      </c>
      <c r="I726" t="s">
        <v>35</v>
      </c>
      <c r="J726"/>
      <c r="K726">
        <v>8.94</v>
      </c>
      <c r="L726">
        <v>0.0</v>
      </c>
      <c r="M726"/>
      <c r="N726"/>
      <c r="O726">
        <v>1.61</v>
      </c>
      <c r="P726">
        <v>0.2</v>
      </c>
      <c r="Q726">
        <v>10.75</v>
      </c>
      <c r="R726"/>
      <c r="S726"/>
      <c r="T726"/>
      <c r="U726"/>
      <c r="V726"/>
      <c r="W726">
        <v>18</v>
      </c>
    </row>
    <row r="727" spans="1:23">
      <c r="A727"/>
      <c r="B727" t="s">
        <v>52</v>
      </c>
      <c r="C727" t="s">
        <v>52</v>
      </c>
      <c r="D727" t="s">
        <v>33</v>
      </c>
      <c r="E727" t="s">
        <v>34</v>
      </c>
      <c r="F727" t="str">
        <f>"0001049"</f>
        <v>0001049</v>
      </c>
      <c r="G727">
        <v>1</v>
      </c>
      <c r="H727" t="str">
        <f>"00000000"</f>
        <v>00000000</v>
      </c>
      <c r="I727" t="s">
        <v>35</v>
      </c>
      <c r="J727"/>
      <c r="K727">
        <v>40.14</v>
      </c>
      <c r="L727">
        <v>0.0</v>
      </c>
      <c r="M727"/>
      <c r="N727"/>
      <c r="O727">
        <v>7.23</v>
      </c>
      <c r="P727">
        <v>0.0</v>
      </c>
      <c r="Q727">
        <v>47.37</v>
      </c>
      <c r="R727"/>
      <c r="S727"/>
      <c r="T727"/>
      <c r="U727"/>
      <c r="V727"/>
      <c r="W727">
        <v>18</v>
      </c>
    </row>
    <row r="728" spans="1:23">
      <c r="A728"/>
      <c r="B728" t="s">
        <v>52</v>
      </c>
      <c r="C728" t="s">
        <v>52</v>
      </c>
      <c r="D728" t="s">
        <v>33</v>
      </c>
      <c r="E728" t="s">
        <v>34</v>
      </c>
      <c r="F728" t="str">
        <f>"0001050"</f>
        <v>0001050</v>
      </c>
      <c r="G728">
        <v>1</v>
      </c>
      <c r="H728" t="str">
        <f>"00000000"</f>
        <v>00000000</v>
      </c>
      <c r="I728" t="s">
        <v>35</v>
      </c>
      <c r="J728"/>
      <c r="K728">
        <v>20.41</v>
      </c>
      <c r="L728">
        <v>0.0</v>
      </c>
      <c r="M728"/>
      <c r="N728"/>
      <c r="O728">
        <v>3.67</v>
      </c>
      <c r="P728">
        <v>0.2</v>
      </c>
      <c r="Q728">
        <v>24.28</v>
      </c>
      <c r="R728"/>
      <c r="S728"/>
      <c r="T728"/>
      <c r="U728"/>
      <c r="V728"/>
      <c r="W728">
        <v>18</v>
      </c>
    </row>
    <row r="729" spans="1:23">
      <c r="A729"/>
      <c r="B729" t="s">
        <v>52</v>
      </c>
      <c r="C729" t="s">
        <v>52</v>
      </c>
      <c r="D729" t="s">
        <v>33</v>
      </c>
      <c r="E729" t="s">
        <v>34</v>
      </c>
      <c r="F729" t="str">
        <f>"0001051"</f>
        <v>0001051</v>
      </c>
      <c r="G729">
        <v>1</v>
      </c>
      <c r="H729" t="str">
        <f>"00000000"</f>
        <v>00000000</v>
      </c>
      <c r="I729" t="s">
        <v>35</v>
      </c>
      <c r="J729"/>
      <c r="K729">
        <v>9.74</v>
      </c>
      <c r="L729">
        <v>0.0</v>
      </c>
      <c r="M729"/>
      <c r="N729"/>
      <c r="O729">
        <v>1.75</v>
      </c>
      <c r="P729">
        <v>0.2</v>
      </c>
      <c r="Q729">
        <v>11.69</v>
      </c>
      <c r="R729"/>
      <c r="S729"/>
      <c r="T729"/>
      <c r="U729"/>
      <c r="V729"/>
      <c r="W729">
        <v>18</v>
      </c>
    </row>
    <row r="730" spans="1:23">
      <c r="A730"/>
      <c r="B730" t="s">
        <v>52</v>
      </c>
      <c r="C730" t="s">
        <v>52</v>
      </c>
      <c r="D730" t="s">
        <v>33</v>
      </c>
      <c r="E730" t="s">
        <v>34</v>
      </c>
      <c r="F730" t="str">
        <f>"0001052"</f>
        <v>0001052</v>
      </c>
      <c r="G730">
        <v>1</v>
      </c>
      <c r="H730" t="str">
        <f>"00000000"</f>
        <v>00000000</v>
      </c>
      <c r="I730" t="s">
        <v>35</v>
      </c>
      <c r="J730"/>
      <c r="K730">
        <v>7.63</v>
      </c>
      <c r="L730">
        <v>0.0</v>
      </c>
      <c r="M730"/>
      <c r="N730"/>
      <c r="O730">
        <v>1.37</v>
      </c>
      <c r="P730">
        <v>0.0</v>
      </c>
      <c r="Q730">
        <v>9.0</v>
      </c>
      <c r="R730"/>
      <c r="S730"/>
      <c r="T730"/>
      <c r="U730"/>
      <c r="V730"/>
      <c r="W730">
        <v>18</v>
      </c>
    </row>
    <row r="731" spans="1:23">
      <c r="A731"/>
      <c r="B731" t="s">
        <v>52</v>
      </c>
      <c r="C731" t="s">
        <v>52</v>
      </c>
      <c r="D731" t="s">
        <v>33</v>
      </c>
      <c r="E731" t="s">
        <v>34</v>
      </c>
      <c r="F731" t="str">
        <f>"0001053"</f>
        <v>0001053</v>
      </c>
      <c r="G731">
        <v>1</v>
      </c>
      <c r="H731" t="str">
        <f>"00000000"</f>
        <v>00000000</v>
      </c>
      <c r="I731" t="s">
        <v>35</v>
      </c>
      <c r="J731"/>
      <c r="K731">
        <v>2.47</v>
      </c>
      <c r="L731">
        <v>0.0</v>
      </c>
      <c r="M731"/>
      <c r="N731"/>
      <c r="O731">
        <v>0.44</v>
      </c>
      <c r="P731">
        <v>0.0</v>
      </c>
      <c r="Q731">
        <v>2.91</v>
      </c>
      <c r="R731"/>
      <c r="S731"/>
      <c r="T731"/>
      <c r="U731"/>
      <c r="V731"/>
      <c r="W731">
        <v>18</v>
      </c>
    </row>
    <row r="732" spans="1:23">
      <c r="A732"/>
      <c r="B732" t="s">
        <v>52</v>
      </c>
      <c r="C732" t="s">
        <v>52</v>
      </c>
      <c r="D732" t="s">
        <v>33</v>
      </c>
      <c r="E732" t="s">
        <v>34</v>
      </c>
      <c r="F732" t="str">
        <f>"0001054"</f>
        <v>0001054</v>
      </c>
      <c r="G732">
        <v>1</v>
      </c>
      <c r="H732" t="str">
        <f>"00000000"</f>
        <v>00000000</v>
      </c>
      <c r="I732" t="s">
        <v>35</v>
      </c>
      <c r="J732"/>
      <c r="K732">
        <v>4.87</v>
      </c>
      <c r="L732">
        <v>0.0</v>
      </c>
      <c r="M732"/>
      <c r="N732"/>
      <c r="O732">
        <v>0.88</v>
      </c>
      <c r="P732">
        <v>0.2</v>
      </c>
      <c r="Q732">
        <v>5.95</v>
      </c>
      <c r="R732"/>
      <c r="S732"/>
      <c r="T732"/>
      <c r="U732"/>
      <c r="V732"/>
      <c r="W732">
        <v>18</v>
      </c>
    </row>
    <row r="733" spans="1:23">
      <c r="A733"/>
      <c r="B733" t="s">
        <v>52</v>
      </c>
      <c r="C733" t="s">
        <v>52</v>
      </c>
      <c r="D733" t="s">
        <v>33</v>
      </c>
      <c r="E733" t="s">
        <v>34</v>
      </c>
      <c r="F733" t="str">
        <f>"0001055"</f>
        <v>0001055</v>
      </c>
      <c r="G733">
        <v>1</v>
      </c>
      <c r="H733" t="str">
        <f>"00000000"</f>
        <v>00000000</v>
      </c>
      <c r="I733" t="s">
        <v>35</v>
      </c>
      <c r="J733"/>
      <c r="K733">
        <v>30.08</v>
      </c>
      <c r="L733">
        <v>0.0</v>
      </c>
      <c r="M733"/>
      <c r="N733"/>
      <c r="O733">
        <v>5.42</v>
      </c>
      <c r="P733">
        <v>0.2</v>
      </c>
      <c r="Q733">
        <v>35.7</v>
      </c>
      <c r="R733"/>
      <c r="S733"/>
      <c r="T733"/>
      <c r="U733"/>
      <c r="V733"/>
      <c r="W733">
        <v>18</v>
      </c>
    </row>
    <row r="734" spans="1:23">
      <c r="A734"/>
      <c r="B734" t="s">
        <v>52</v>
      </c>
      <c r="C734" t="s">
        <v>52</v>
      </c>
      <c r="D734" t="s">
        <v>33</v>
      </c>
      <c r="E734" t="s">
        <v>34</v>
      </c>
      <c r="F734" t="str">
        <f>"0001056"</f>
        <v>0001056</v>
      </c>
      <c r="G734">
        <v>1</v>
      </c>
      <c r="H734" t="str">
        <f>"00000000"</f>
        <v>00000000</v>
      </c>
      <c r="I734" t="s">
        <v>35</v>
      </c>
      <c r="J734"/>
      <c r="K734">
        <v>13.9</v>
      </c>
      <c r="L734">
        <v>0.0</v>
      </c>
      <c r="M734"/>
      <c r="N734"/>
      <c r="O734">
        <v>2.5</v>
      </c>
      <c r="P734">
        <v>0.0</v>
      </c>
      <c r="Q734">
        <v>16.4</v>
      </c>
      <c r="R734"/>
      <c r="S734"/>
      <c r="T734"/>
      <c r="U734"/>
      <c r="V734"/>
      <c r="W734">
        <v>18</v>
      </c>
    </row>
    <row r="735" spans="1:23">
      <c r="A735"/>
      <c r="B735" t="s">
        <v>52</v>
      </c>
      <c r="C735" t="s">
        <v>52</v>
      </c>
      <c r="D735" t="s">
        <v>33</v>
      </c>
      <c r="E735" t="s">
        <v>34</v>
      </c>
      <c r="F735" t="str">
        <f>"0001057"</f>
        <v>0001057</v>
      </c>
      <c r="G735">
        <v>1</v>
      </c>
      <c r="H735" t="str">
        <f>"00000000"</f>
        <v>00000000</v>
      </c>
      <c r="I735" t="s">
        <v>35</v>
      </c>
      <c r="J735"/>
      <c r="K735">
        <v>32.29</v>
      </c>
      <c r="L735">
        <v>0.0</v>
      </c>
      <c r="M735"/>
      <c r="N735"/>
      <c r="O735">
        <v>5.81</v>
      </c>
      <c r="P735">
        <v>0.2</v>
      </c>
      <c r="Q735">
        <v>38.3</v>
      </c>
      <c r="R735"/>
      <c r="S735"/>
      <c r="T735"/>
      <c r="U735"/>
      <c r="V735"/>
      <c r="W735">
        <v>18</v>
      </c>
    </row>
    <row r="736" spans="1:23">
      <c r="A736"/>
      <c r="B736" t="s">
        <v>52</v>
      </c>
      <c r="C736" t="s">
        <v>52</v>
      </c>
      <c r="D736" t="s">
        <v>33</v>
      </c>
      <c r="E736" t="s">
        <v>34</v>
      </c>
      <c r="F736" t="str">
        <f>"0001058"</f>
        <v>0001058</v>
      </c>
      <c r="G736">
        <v>1</v>
      </c>
      <c r="H736" t="str">
        <f>"00000000"</f>
        <v>00000000</v>
      </c>
      <c r="I736" t="s">
        <v>35</v>
      </c>
      <c r="J736"/>
      <c r="K736">
        <v>12.69</v>
      </c>
      <c r="L736">
        <v>0.0</v>
      </c>
      <c r="M736"/>
      <c r="N736"/>
      <c r="O736">
        <v>2.29</v>
      </c>
      <c r="P736">
        <v>0.0</v>
      </c>
      <c r="Q736">
        <v>14.98</v>
      </c>
      <c r="R736"/>
      <c r="S736"/>
      <c r="T736"/>
      <c r="U736"/>
      <c r="V736"/>
      <c r="W736">
        <v>18</v>
      </c>
    </row>
    <row r="737" spans="1:23">
      <c r="A737"/>
      <c r="B737" t="s">
        <v>52</v>
      </c>
      <c r="C737" t="s">
        <v>52</v>
      </c>
      <c r="D737" t="s">
        <v>33</v>
      </c>
      <c r="E737" t="s">
        <v>34</v>
      </c>
      <c r="F737" t="str">
        <f>"0001059"</f>
        <v>0001059</v>
      </c>
      <c r="G737">
        <v>1</v>
      </c>
      <c r="H737" t="str">
        <f>"00000000"</f>
        <v>00000000</v>
      </c>
      <c r="I737" t="s">
        <v>35</v>
      </c>
      <c r="J737"/>
      <c r="K737">
        <v>12.89</v>
      </c>
      <c r="L737">
        <v>0.0</v>
      </c>
      <c r="M737"/>
      <c r="N737"/>
      <c r="O737">
        <v>2.32</v>
      </c>
      <c r="P737">
        <v>0.0</v>
      </c>
      <c r="Q737">
        <v>15.22</v>
      </c>
      <c r="R737"/>
      <c r="S737"/>
      <c r="T737"/>
      <c r="U737"/>
      <c r="V737"/>
      <c r="W737">
        <v>18</v>
      </c>
    </row>
    <row r="738" spans="1:23">
      <c r="A738"/>
      <c r="B738" t="s">
        <v>52</v>
      </c>
      <c r="C738" t="s">
        <v>52</v>
      </c>
      <c r="D738" t="s">
        <v>33</v>
      </c>
      <c r="E738" t="s">
        <v>34</v>
      </c>
      <c r="F738" t="str">
        <f>"0001060"</f>
        <v>0001060</v>
      </c>
      <c r="G738">
        <v>1</v>
      </c>
      <c r="H738" t="str">
        <f>"00000000"</f>
        <v>00000000</v>
      </c>
      <c r="I738" t="s">
        <v>35</v>
      </c>
      <c r="J738"/>
      <c r="K738">
        <v>3.9</v>
      </c>
      <c r="L738">
        <v>0.0</v>
      </c>
      <c r="M738"/>
      <c r="N738"/>
      <c r="O738">
        <v>0.7</v>
      </c>
      <c r="P738">
        <v>0.0</v>
      </c>
      <c r="Q738">
        <v>4.6</v>
      </c>
      <c r="R738"/>
      <c r="S738"/>
      <c r="T738"/>
      <c r="U738"/>
      <c r="V738"/>
      <c r="W738">
        <v>18</v>
      </c>
    </row>
    <row r="739" spans="1:23">
      <c r="A739"/>
      <c r="B739" t="s">
        <v>52</v>
      </c>
      <c r="C739" t="s">
        <v>52</v>
      </c>
      <c r="D739" t="s">
        <v>33</v>
      </c>
      <c r="E739" t="s">
        <v>34</v>
      </c>
      <c r="F739" t="str">
        <f>"0001061"</f>
        <v>0001061</v>
      </c>
      <c r="G739">
        <v>1</v>
      </c>
      <c r="H739" t="str">
        <f>"00000000"</f>
        <v>00000000</v>
      </c>
      <c r="I739" t="s">
        <v>35</v>
      </c>
      <c r="J739"/>
      <c r="K739">
        <v>43.3</v>
      </c>
      <c r="L739">
        <v>0.0</v>
      </c>
      <c r="M739"/>
      <c r="N739"/>
      <c r="O739">
        <v>7.79</v>
      </c>
      <c r="P739">
        <v>0.2</v>
      </c>
      <c r="Q739">
        <v>51.29</v>
      </c>
      <c r="R739"/>
      <c r="S739"/>
      <c r="T739"/>
      <c r="U739"/>
      <c r="V739"/>
      <c r="W739">
        <v>18</v>
      </c>
    </row>
    <row r="740" spans="1:23">
      <c r="A740"/>
      <c r="B740" t="s">
        <v>52</v>
      </c>
      <c r="C740" t="s">
        <v>52</v>
      </c>
      <c r="D740" t="s">
        <v>33</v>
      </c>
      <c r="E740" t="s">
        <v>34</v>
      </c>
      <c r="F740" t="str">
        <f>"0001062"</f>
        <v>0001062</v>
      </c>
      <c r="G740">
        <v>1</v>
      </c>
      <c r="H740" t="str">
        <f>"00000000"</f>
        <v>00000000</v>
      </c>
      <c r="I740" t="s">
        <v>35</v>
      </c>
      <c r="J740"/>
      <c r="K740">
        <v>1.02</v>
      </c>
      <c r="L740">
        <v>0.0</v>
      </c>
      <c r="M740"/>
      <c r="N740"/>
      <c r="O740">
        <v>0.18</v>
      </c>
      <c r="P740">
        <v>0.0</v>
      </c>
      <c r="Q740">
        <v>1.2</v>
      </c>
      <c r="R740"/>
      <c r="S740"/>
      <c r="T740"/>
      <c r="U740"/>
      <c r="V740"/>
      <c r="W740">
        <v>18</v>
      </c>
    </row>
    <row r="741" spans="1:23">
      <c r="A741"/>
      <c r="B741" t="s">
        <v>52</v>
      </c>
      <c r="C741" t="s">
        <v>52</v>
      </c>
      <c r="D741" t="s">
        <v>33</v>
      </c>
      <c r="E741" t="s">
        <v>34</v>
      </c>
      <c r="F741" t="str">
        <f>"0001063"</f>
        <v>0001063</v>
      </c>
      <c r="G741">
        <v>1</v>
      </c>
      <c r="H741" t="str">
        <f>"00000000"</f>
        <v>00000000</v>
      </c>
      <c r="I741" t="s">
        <v>35</v>
      </c>
      <c r="J741"/>
      <c r="K741">
        <v>16.95</v>
      </c>
      <c r="L741">
        <v>0.0</v>
      </c>
      <c r="M741"/>
      <c r="N741"/>
      <c r="O741">
        <v>3.05</v>
      </c>
      <c r="P741">
        <v>0.2</v>
      </c>
      <c r="Q741">
        <v>20.2</v>
      </c>
      <c r="R741"/>
      <c r="S741"/>
      <c r="T741"/>
      <c r="U741"/>
      <c r="V741"/>
      <c r="W741">
        <v>18</v>
      </c>
    </row>
    <row r="742" spans="1:23">
      <c r="A742"/>
      <c r="B742" t="s">
        <v>52</v>
      </c>
      <c r="C742" t="s">
        <v>52</v>
      </c>
      <c r="D742" t="s">
        <v>33</v>
      </c>
      <c r="E742" t="s">
        <v>34</v>
      </c>
      <c r="F742" t="str">
        <f>"0001064"</f>
        <v>0001064</v>
      </c>
      <c r="G742">
        <v>1</v>
      </c>
      <c r="H742" t="str">
        <f>"00000000"</f>
        <v>00000000</v>
      </c>
      <c r="I742" t="s">
        <v>35</v>
      </c>
      <c r="J742"/>
      <c r="K742">
        <v>4.24</v>
      </c>
      <c r="L742">
        <v>0.0</v>
      </c>
      <c r="M742"/>
      <c r="N742"/>
      <c r="O742">
        <v>0.76</v>
      </c>
      <c r="P742">
        <v>0.0</v>
      </c>
      <c r="Q742">
        <v>5.01</v>
      </c>
      <c r="R742"/>
      <c r="S742"/>
      <c r="T742"/>
      <c r="U742"/>
      <c r="V742"/>
      <c r="W742">
        <v>18</v>
      </c>
    </row>
    <row r="743" spans="1:23">
      <c r="A743"/>
      <c r="B743" t="s">
        <v>52</v>
      </c>
      <c r="C743" t="s">
        <v>52</v>
      </c>
      <c r="D743" t="s">
        <v>33</v>
      </c>
      <c r="E743" t="s">
        <v>34</v>
      </c>
      <c r="F743" t="str">
        <f>"0001065"</f>
        <v>0001065</v>
      </c>
      <c r="G743">
        <v>1</v>
      </c>
      <c r="H743" t="str">
        <f>"00000000"</f>
        <v>00000000</v>
      </c>
      <c r="I743" t="s">
        <v>35</v>
      </c>
      <c r="J743"/>
      <c r="K743">
        <v>8.67</v>
      </c>
      <c r="L743">
        <v>0.0</v>
      </c>
      <c r="M743"/>
      <c r="N743"/>
      <c r="O743">
        <v>1.56</v>
      </c>
      <c r="P743">
        <v>0.2</v>
      </c>
      <c r="Q743">
        <v>10.44</v>
      </c>
      <c r="R743"/>
      <c r="S743"/>
      <c r="T743"/>
      <c r="U743"/>
      <c r="V743"/>
      <c r="W743">
        <v>18</v>
      </c>
    </row>
    <row r="744" spans="1:23">
      <c r="A744"/>
      <c r="B744" t="s">
        <v>52</v>
      </c>
      <c r="C744" t="s">
        <v>52</v>
      </c>
      <c r="D744" t="s">
        <v>33</v>
      </c>
      <c r="E744" t="s">
        <v>34</v>
      </c>
      <c r="F744" t="str">
        <f>"0001066"</f>
        <v>0001066</v>
      </c>
      <c r="G744">
        <v>1</v>
      </c>
      <c r="H744" t="str">
        <f>"00000000"</f>
        <v>00000000</v>
      </c>
      <c r="I744" t="s">
        <v>35</v>
      </c>
      <c r="J744"/>
      <c r="K744">
        <v>69.95</v>
      </c>
      <c r="L744">
        <v>0.0</v>
      </c>
      <c r="M744"/>
      <c r="N744"/>
      <c r="O744">
        <v>12.59</v>
      </c>
      <c r="P744">
        <v>0.0</v>
      </c>
      <c r="Q744">
        <v>82.54</v>
      </c>
      <c r="R744"/>
      <c r="S744"/>
      <c r="T744"/>
      <c r="U744"/>
      <c r="V744"/>
      <c r="W744">
        <v>18</v>
      </c>
    </row>
    <row r="745" spans="1:23">
      <c r="A745"/>
      <c r="B745" t="s">
        <v>52</v>
      </c>
      <c r="C745" t="s">
        <v>52</v>
      </c>
      <c r="D745" t="s">
        <v>33</v>
      </c>
      <c r="E745" t="s">
        <v>34</v>
      </c>
      <c r="F745" t="str">
        <f>"0001067"</f>
        <v>0001067</v>
      </c>
      <c r="G745">
        <v>1</v>
      </c>
      <c r="H745" t="str">
        <f>"00000000"</f>
        <v>00000000</v>
      </c>
      <c r="I745" t="s">
        <v>35</v>
      </c>
      <c r="J745"/>
      <c r="K745">
        <v>3.55</v>
      </c>
      <c r="L745">
        <v>0.0</v>
      </c>
      <c r="M745"/>
      <c r="N745"/>
      <c r="O745">
        <v>0.64</v>
      </c>
      <c r="P745">
        <v>0.0</v>
      </c>
      <c r="Q745">
        <v>4.19</v>
      </c>
      <c r="R745"/>
      <c r="S745"/>
      <c r="T745"/>
      <c r="U745"/>
      <c r="V745"/>
      <c r="W745">
        <v>18</v>
      </c>
    </row>
    <row r="746" spans="1:23">
      <c r="A746"/>
      <c r="B746" t="s">
        <v>52</v>
      </c>
      <c r="C746" t="s">
        <v>52</v>
      </c>
      <c r="D746" t="s">
        <v>33</v>
      </c>
      <c r="E746" t="s">
        <v>34</v>
      </c>
      <c r="F746" t="str">
        <f>"0001068"</f>
        <v>0001068</v>
      </c>
      <c r="G746">
        <v>1</v>
      </c>
      <c r="H746" t="str">
        <f>"00000000"</f>
        <v>00000000</v>
      </c>
      <c r="I746" t="s">
        <v>35</v>
      </c>
      <c r="J746"/>
      <c r="K746">
        <v>3.98</v>
      </c>
      <c r="L746">
        <v>0.0</v>
      </c>
      <c r="M746"/>
      <c r="N746"/>
      <c r="O746">
        <v>0.72</v>
      </c>
      <c r="P746">
        <v>0.0</v>
      </c>
      <c r="Q746">
        <v>4.7</v>
      </c>
      <c r="R746"/>
      <c r="S746"/>
      <c r="T746"/>
      <c r="U746"/>
      <c r="V746"/>
      <c r="W746">
        <v>18</v>
      </c>
    </row>
    <row r="747" spans="1:23">
      <c r="A747"/>
      <c r="B747" t="s">
        <v>52</v>
      </c>
      <c r="C747" t="s">
        <v>52</v>
      </c>
      <c r="D747" t="s">
        <v>33</v>
      </c>
      <c r="E747" t="s">
        <v>34</v>
      </c>
      <c r="F747" t="str">
        <f>"0001069"</f>
        <v>0001069</v>
      </c>
      <c r="G747">
        <v>1</v>
      </c>
      <c r="H747" t="str">
        <f>"00000000"</f>
        <v>00000000</v>
      </c>
      <c r="I747" t="s">
        <v>35</v>
      </c>
      <c r="J747"/>
      <c r="K747">
        <v>90.34</v>
      </c>
      <c r="L747">
        <v>0.0</v>
      </c>
      <c r="M747"/>
      <c r="N747"/>
      <c r="O747">
        <v>16.26</v>
      </c>
      <c r="P747">
        <v>0.2</v>
      </c>
      <c r="Q747">
        <v>106.8</v>
      </c>
      <c r="R747"/>
      <c r="S747"/>
      <c r="T747"/>
      <c r="U747"/>
      <c r="V747"/>
      <c r="W747">
        <v>18</v>
      </c>
    </row>
    <row r="748" spans="1:23">
      <c r="A748"/>
      <c r="B748" t="s">
        <v>52</v>
      </c>
      <c r="C748" t="s">
        <v>52</v>
      </c>
      <c r="D748" t="s">
        <v>33</v>
      </c>
      <c r="E748" t="s">
        <v>34</v>
      </c>
      <c r="F748" t="str">
        <f>"0001070"</f>
        <v>0001070</v>
      </c>
      <c r="G748">
        <v>1</v>
      </c>
      <c r="H748" t="str">
        <f>"00000000"</f>
        <v>00000000</v>
      </c>
      <c r="I748" t="s">
        <v>35</v>
      </c>
      <c r="J748"/>
      <c r="K748">
        <v>1.69</v>
      </c>
      <c r="L748">
        <v>0.0</v>
      </c>
      <c r="M748"/>
      <c r="N748"/>
      <c r="O748">
        <v>0.31</v>
      </c>
      <c r="P748">
        <v>0.0</v>
      </c>
      <c r="Q748">
        <v>2.0</v>
      </c>
      <c r="R748"/>
      <c r="S748"/>
      <c r="T748"/>
      <c r="U748"/>
      <c r="V748"/>
      <c r="W748">
        <v>18</v>
      </c>
    </row>
    <row r="749" spans="1:23">
      <c r="A749"/>
      <c r="B749" t="s">
        <v>52</v>
      </c>
      <c r="C749" t="s">
        <v>52</v>
      </c>
      <c r="D749" t="s">
        <v>33</v>
      </c>
      <c r="E749" t="s">
        <v>34</v>
      </c>
      <c r="F749" t="str">
        <f>"0001071"</f>
        <v>0001071</v>
      </c>
      <c r="G749">
        <v>1</v>
      </c>
      <c r="H749" t="str">
        <f>"00000000"</f>
        <v>00000000</v>
      </c>
      <c r="I749" t="s">
        <v>35</v>
      </c>
      <c r="J749"/>
      <c r="K749">
        <v>0.46</v>
      </c>
      <c r="L749">
        <v>0.0</v>
      </c>
      <c r="M749"/>
      <c r="N749"/>
      <c r="O749">
        <v>0.08</v>
      </c>
      <c r="P749">
        <v>0.0</v>
      </c>
      <c r="Q749">
        <v>0.55</v>
      </c>
      <c r="R749"/>
      <c r="S749"/>
      <c r="T749"/>
      <c r="U749"/>
      <c r="V749"/>
      <c r="W749">
        <v>18</v>
      </c>
    </row>
    <row r="750" spans="1:23">
      <c r="A750"/>
      <c r="B750" t="s">
        <v>52</v>
      </c>
      <c r="C750" t="s">
        <v>52</v>
      </c>
      <c r="D750" t="s">
        <v>33</v>
      </c>
      <c r="E750" t="s">
        <v>34</v>
      </c>
      <c r="F750" t="str">
        <f>"0001072"</f>
        <v>0001072</v>
      </c>
      <c r="G750">
        <v>1</v>
      </c>
      <c r="H750" t="str">
        <f>"00000000"</f>
        <v>00000000</v>
      </c>
      <c r="I750" t="s">
        <v>35</v>
      </c>
      <c r="J750"/>
      <c r="K750">
        <v>30.79</v>
      </c>
      <c r="L750">
        <v>0.0</v>
      </c>
      <c r="M750"/>
      <c r="N750"/>
      <c r="O750">
        <v>5.54</v>
      </c>
      <c r="P750">
        <v>0.2</v>
      </c>
      <c r="Q750">
        <v>36.53</v>
      </c>
      <c r="R750"/>
      <c r="S750"/>
      <c r="T750"/>
      <c r="U750"/>
      <c r="V750"/>
      <c r="W750">
        <v>18</v>
      </c>
    </row>
    <row r="751" spans="1:23">
      <c r="A751"/>
      <c r="B751" t="s">
        <v>52</v>
      </c>
      <c r="C751" t="s">
        <v>52</v>
      </c>
      <c r="D751" t="s">
        <v>33</v>
      </c>
      <c r="E751" t="s">
        <v>34</v>
      </c>
      <c r="F751" t="str">
        <f>"0001073"</f>
        <v>0001073</v>
      </c>
      <c r="G751">
        <v>1</v>
      </c>
      <c r="H751" t="str">
        <f>"00000000"</f>
        <v>00000000</v>
      </c>
      <c r="I751" t="s">
        <v>35</v>
      </c>
      <c r="J751"/>
      <c r="K751">
        <v>15.17</v>
      </c>
      <c r="L751">
        <v>0.0</v>
      </c>
      <c r="M751"/>
      <c r="N751"/>
      <c r="O751">
        <v>2.73</v>
      </c>
      <c r="P751">
        <v>0.0</v>
      </c>
      <c r="Q751">
        <v>17.9</v>
      </c>
      <c r="R751"/>
      <c r="S751"/>
      <c r="T751"/>
      <c r="U751"/>
      <c r="V751"/>
      <c r="W751">
        <v>18</v>
      </c>
    </row>
    <row r="752" spans="1:23">
      <c r="A752"/>
      <c r="B752" t="s">
        <v>52</v>
      </c>
      <c r="C752" t="s">
        <v>52</v>
      </c>
      <c r="D752" t="s">
        <v>33</v>
      </c>
      <c r="E752" t="s">
        <v>34</v>
      </c>
      <c r="F752" t="str">
        <f>"0001074"</f>
        <v>0001074</v>
      </c>
      <c r="G752">
        <v>1</v>
      </c>
      <c r="H752" t="str">
        <f>"00000000"</f>
        <v>00000000</v>
      </c>
      <c r="I752" t="s">
        <v>35</v>
      </c>
      <c r="J752"/>
      <c r="K752">
        <v>13.14</v>
      </c>
      <c r="L752">
        <v>0.0</v>
      </c>
      <c r="M752"/>
      <c r="N752"/>
      <c r="O752">
        <v>2.36</v>
      </c>
      <c r="P752">
        <v>0.0</v>
      </c>
      <c r="Q752">
        <v>15.5</v>
      </c>
      <c r="R752"/>
      <c r="S752"/>
      <c r="T752"/>
      <c r="U752"/>
      <c r="V752"/>
      <c r="W752">
        <v>18</v>
      </c>
    </row>
    <row r="753" spans="1:23">
      <c r="A753"/>
      <c r="B753" t="s">
        <v>52</v>
      </c>
      <c r="C753" t="s">
        <v>52</v>
      </c>
      <c r="D753" t="s">
        <v>33</v>
      </c>
      <c r="E753" t="s">
        <v>34</v>
      </c>
      <c r="F753" t="str">
        <f>"0001075"</f>
        <v>0001075</v>
      </c>
      <c r="G753">
        <v>1</v>
      </c>
      <c r="H753" t="str">
        <f>"00000000"</f>
        <v>00000000</v>
      </c>
      <c r="I753" t="s">
        <v>35</v>
      </c>
      <c r="J753"/>
      <c r="K753">
        <v>1.83</v>
      </c>
      <c r="L753">
        <v>0.0</v>
      </c>
      <c r="M753"/>
      <c r="N753"/>
      <c r="O753">
        <v>0.33</v>
      </c>
      <c r="P753">
        <v>0.0</v>
      </c>
      <c r="Q753">
        <v>2.16</v>
      </c>
      <c r="R753"/>
      <c r="S753"/>
      <c r="T753"/>
      <c r="U753"/>
      <c r="V753"/>
      <c r="W753">
        <v>18</v>
      </c>
    </row>
    <row r="754" spans="1:23">
      <c r="A754"/>
      <c r="B754" t="s">
        <v>52</v>
      </c>
      <c r="C754" t="s">
        <v>52</v>
      </c>
      <c r="D754" t="s">
        <v>33</v>
      </c>
      <c r="E754" t="s">
        <v>34</v>
      </c>
      <c r="F754" t="str">
        <f>"0001076"</f>
        <v>0001076</v>
      </c>
      <c r="G754">
        <v>1</v>
      </c>
      <c r="H754" t="str">
        <f>"00000000"</f>
        <v>00000000</v>
      </c>
      <c r="I754" t="s">
        <v>35</v>
      </c>
      <c r="J754"/>
      <c r="K754">
        <v>2.97</v>
      </c>
      <c r="L754">
        <v>0.0</v>
      </c>
      <c r="M754"/>
      <c r="N754"/>
      <c r="O754">
        <v>0.53</v>
      </c>
      <c r="P754">
        <v>0.0</v>
      </c>
      <c r="Q754">
        <v>3.5</v>
      </c>
      <c r="R754"/>
      <c r="S754"/>
      <c r="T754"/>
      <c r="U754"/>
      <c r="V754"/>
      <c r="W754">
        <v>18</v>
      </c>
    </row>
    <row r="755" spans="1:23">
      <c r="A755"/>
      <c r="B755" t="s">
        <v>52</v>
      </c>
      <c r="C755" t="s">
        <v>52</v>
      </c>
      <c r="D755" t="s">
        <v>33</v>
      </c>
      <c r="E755" t="s">
        <v>34</v>
      </c>
      <c r="F755" t="str">
        <f>"0001077"</f>
        <v>0001077</v>
      </c>
      <c r="G755">
        <v>1</v>
      </c>
      <c r="H755" t="str">
        <f>"00000000"</f>
        <v>00000000</v>
      </c>
      <c r="I755" t="s">
        <v>35</v>
      </c>
      <c r="J755"/>
      <c r="K755">
        <v>72.45</v>
      </c>
      <c r="L755">
        <v>0.0</v>
      </c>
      <c r="M755"/>
      <c r="N755"/>
      <c r="O755">
        <v>13.04</v>
      </c>
      <c r="P755">
        <v>0.6</v>
      </c>
      <c r="Q755">
        <v>86.09</v>
      </c>
      <c r="R755"/>
      <c r="S755"/>
      <c r="T755"/>
      <c r="U755"/>
      <c r="V755"/>
      <c r="W755">
        <v>18</v>
      </c>
    </row>
    <row r="756" spans="1:23">
      <c r="A756"/>
      <c r="B756" t="s">
        <v>52</v>
      </c>
      <c r="C756" t="s">
        <v>52</v>
      </c>
      <c r="D756" t="s">
        <v>33</v>
      </c>
      <c r="E756" t="s">
        <v>34</v>
      </c>
      <c r="F756" t="str">
        <f>"0001078"</f>
        <v>0001078</v>
      </c>
      <c r="G756">
        <v>1</v>
      </c>
      <c r="H756" t="str">
        <f>"00000000"</f>
        <v>00000000</v>
      </c>
      <c r="I756" t="s">
        <v>35</v>
      </c>
      <c r="J756"/>
      <c r="K756">
        <v>2.54</v>
      </c>
      <c r="L756">
        <v>0.0</v>
      </c>
      <c r="M756"/>
      <c r="N756"/>
      <c r="O756">
        <v>0.46</v>
      </c>
      <c r="P756">
        <v>0.0</v>
      </c>
      <c r="Q756">
        <v>3.0</v>
      </c>
      <c r="R756"/>
      <c r="S756"/>
      <c r="T756"/>
      <c r="U756"/>
      <c r="V756"/>
      <c r="W756">
        <v>18</v>
      </c>
    </row>
    <row r="757" spans="1:23">
      <c r="A757"/>
      <c r="B757" t="s">
        <v>52</v>
      </c>
      <c r="C757" t="s">
        <v>52</v>
      </c>
      <c r="D757" t="s">
        <v>33</v>
      </c>
      <c r="E757" t="s">
        <v>34</v>
      </c>
      <c r="F757" t="str">
        <f>"0001079"</f>
        <v>0001079</v>
      </c>
      <c r="G757">
        <v>1</v>
      </c>
      <c r="H757" t="str">
        <f>"00000000"</f>
        <v>00000000</v>
      </c>
      <c r="I757" t="s">
        <v>35</v>
      </c>
      <c r="J757"/>
      <c r="K757">
        <v>3.73</v>
      </c>
      <c r="L757">
        <v>0.0</v>
      </c>
      <c r="M757"/>
      <c r="N757"/>
      <c r="O757">
        <v>0.67</v>
      </c>
      <c r="P757">
        <v>0.0</v>
      </c>
      <c r="Q757">
        <v>4.4</v>
      </c>
      <c r="R757"/>
      <c r="S757"/>
      <c r="T757"/>
      <c r="U757"/>
      <c r="V757"/>
      <c r="W757">
        <v>18</v>
      </c>
    </row>
    <row r="758" spans="1:23">
      <c r="A758"/>
      <c r="B758" t="s">
        <v>52</v>
      </c>
      <c r="C758" t="s">
        <v>52</v>
      </c>
      <c r="D758" t="s">
        <v>33</v>
      </c>
      <c r="E758" t="s">
        <v>34</v>
      </c>
      <c r="F758" t="str">
        <f>"0001080"</f>
        <v>0001080</v>
      </c>
      <c r="G758">
        <v>1</v>
      </c>
      <c r="H758" t="str">
        <f>"00000000"</f>
        <v>00000000</v>
      </c>
      <c r="I758" t="s">
        <v>35</v>
      </c>
      <c r="J758"/>
      <c r="K758">
        <v>7.71</v>
      </c>
      <c r="L758">
        <v>0.0</v>
      </c>
      <c r="M758"/>
      <c r="N758"/>
      <c r="O758">
        <v>1.39</v>
      </c>
      <c r="P758">
        <v>0.2</v>
      </c>
      <c r="Q758">
        <v>9.3</v>
      </c>
      <c r="R758"/>
      <c r="S758"/>
      <c r="T758"/>
      <c r="U758"/>
      <c r="V758"/>
      <c r="W758">
        <v>18</v>
      </c>
    </row>
    <row r="759" spans="1:23">
      <c r="A759"/>
      <c r="B759" t="s">
        <v>52</v>
      </c>
      <c r="C759" t="s">
        <v>52</v>
      </c>
      <c r="D759" t="s">
        <v>33</v>
      </c>
      <c r="E759" t="s">
        <v>34</v>
      </c>
      <c r="F759" t="str">
        <f>"0001081"</f>
        <v>0001081</v>
      </c>
      <c r="G759">
        <v>1</v>
      </c>
      <c r="H759" t="str">
        <f>"00000000"</f>
        <v>00000000</v>
      </c>
      <c r="I759" t="s">
        <v>35</v>
      </c>
      <c r="J759"/>
      <c r="K759">
        <v>70.93</v>
      </c>
      <c r="L759">
        <v>0.0</v>
      </c>
      <c r="M759"/>
      <c r="N759"/>
      <c r="O759">
        <v>12.77</v>
      </c>
      <c r="P759">
        <v>0.0</v>
      </c>
      <c r="Q759">
        <v>83.7</v>
      </c>
      <c r="R759"/>
      <c r="S759"/>
      <c r="T759"/>
      <c r="U759"/>
      <c r="V759"/>
      <c r="W759">
        <v>18</v>
      </c>
    </row>
    <row r="760" spans="1:23">
      <c r="A760"/>
      <c r="B760" t="s">
        <v>52</v>
      </c>
      <c r="C760" t="s">
        <v>52</v>
      </c>
      <c r="D760" t="s">
        <v>33</v>
      </c>
      <c r="E760" t="s">
        <v>34</v>
      </c>
      <c r="F760" t="str">
        <f>"0001082"</f>
        <v>0001082</v>
      </c>
      <c r="G760">
        <v>1</v>
      </c>
      <c r="H760" t="str">
        <f>"00000000"</f>
        <v>00000000</v>
      </c>
      <c r="I760" t="s">
        <v>35</v>
      </c>
      <c r="J760"/>
      <c r="K760">
        <v>9.42</v>
      </c>
      <c r="L760">
        <v>0.0</v>
      </c>
      <c r="M760"/>
      <c r="N760"/>
      <c r="O760">
        <v>1.7</v>
      </c>
      <c r="P760">
        <v>0.0</v>
      </c>
      <c r="Q760">
        <v>11.12</v>
      </c>
      <c r="R760"/>
      <c r="S760"/>
      <c r="T760"/>
      <c r="U760"/>
      <c r="V760"/>
      <c r="W760">
        <v>18</v>
      </c>
    </row>
    <row r="761" spans="1:23">
      <c r="A761"/>
      <c r="B761" t="s">
        <v>52</v>
      </c>
      <c r="C761" t="s">
        <v>52</v>
      </c>
      <c r="D761" t="s">
        <v>33</v>
      </c>
      <c r="E761" t="s">
        <v>34</v>
      </c>
      <c r="F761" t="str">
        <f>"0001083"</f>
        <v>0001083</v>
      </c>
      <c r="G761">
        <v>1</v>
      </c>
      <c r="H761" t="str">
        <f>"00000000"</f>
        <v>00000000</v>
      </c>
      <c r="I761" t="s">
        <v>35</v>
      </c>
      <c r="J761"/>
      <c r="K761">
        <v>12.73</v>
      </c>
      <c r="L761">
        <v>0.0</v>
      </c>
      <c r="M761"/>
      <c r="N761"/>
      <c r="O761">
        <v>2.29</v>
      </c>
      <c r="P761">
        <v>0.2</v>
      </c>
      <c r="Q761">
        <v>15.22</v>
      </c>
      <c r="R761"/>
      <c r="S761"/>
      <c r="T761"/>
      <c r="U761"/>
      <c r="V761"/>
      <c r="W761">
        <v>18</v>
      </c>
    </row>
    <row r="762" spans="1:23">
      <c r="A762"/>
      <c r="B762" t="s">
        <v>52</v>
      </c>
      <c r="C762" t="s">
        <v>52</v>
      </c>
      <c r="D762" t="s">
        <v>33</v>
      </c>
      <c r="E762" t="s">
        <v>34</v>
      </c>
      <c r="F762" t="str">
        <f>"0001084"</f>
        <v>0001084</v>
      </c>
      <c r="G762">
        <v>1</v>
      </c>
      <c r="H762" t="str">
        <f>"00000000"</f>
        <v>00000000</v>
      </c>
      <c r="I762" t="s">
        <v>35</v>
      </c>
      <c r="J762"/>
      <c r="K762">
        <v>38.14</v>
      </c>
      <c r="L762">
        <v>0.0</v>
      </c>
      <c r="M762"/>
      <c r="N762"/>
      <c r="O762">
        <v>6.86</v>
      </c>
      <c r="P762">
        <v>0.2</v>
      </c>
      <c r="Q762">
        <v>45.2</v>
      </c>
      <c r="R762"/>
      <c r="S762"/>
      <c r="T762"/>
      <c r="U762"/>
      <c r="V762"/>
      <c r="W762">
        <v>18</v>
      </c>
    </row>
    <row r="763" spans="1:23">
      <c r="A763"/>
      <c r="B763" t="s">
        <v>52</v>
      </c>
      <c r="C763" t="s">
        <v>52</v>
      </c>
      <c r="D763" t="s">
        <v>33</v>
      </c>
      <c r="E763" t="s">
        <v>34</v>
      </c>
      <c r="F763" t="str">
        <f>"0001085"</f>
        <v>0001085</v>
      </c>
      <c r="G763">
        <v>1</v>
      </c>
      <c r="H763" t="str">
        <f>"00000000"</f>
        <v>00000000</v>
      </c>
      <c r="I763" t="s">
        <v>35</v>
      </c>
      <c r="J763"/>
      <c r="K763">
        <v>14.32</v>
      </c>
      <c r="L763">
        <v>0.0</v>
      </c>
      <c r="M763"/>
      <c r="N763"/>
      <c r="O763">
        <v>2.58</v>
      </c>
      <c r="P763">
        <v>0.0</v>
      </c>
      <c r="Q763">
        <v>16.9</v>
      </c>
      <c r="R763"/>
      <c r="S763"/>
      <c r="T763"/>
      <c r="U763"/>
      <c r="V763"/>
      <c r="W763">
        <v>18</v>
      </c>
    </row>
    <row r="764" spans="1:23">
      <c r="A764"/>
      <c r="B764" t="s">
        <v>52</v>
      </c>
      <c r="C764" t="s">
        <v>52</v>
      </c>
      <c r="D764" t="s">
        <v>33</v>
      </c>
      <c r="E764" t="s">
        <v>34</v>
      </c>
      <c r="F764" t="str">
        <f>"0001086"</f>
        <v>0001086</v>
      </c>
      <c r="G764">
        <v>1</v>
      </c>
      <c r="H764" t="str">
        <f>"00000000"</f>
        <v>00000000</v>
      </c>
      <c r="I764" t="s">
        <v>35</v>
      </c>
      <c r="J764"/>
      <c r="K764">
        <v>31.71</v>
      </c>
      <c r="L764">
        <v>0.0</v>
      </c>
      <c r="M764"/>
      <c r="N764"/>
      <c r="O764">
        <v>5.71</v>
      </c>
      <c r="P764">
        <v>0.0</v>
      </c>
      <c r="Q764">
        <v>37.42</v>
      </c>
      <c r="R764"/>
      <c r="S764"/>
      <c r="T764"/>
      <c r="U764"/>
      <c r="V764"/>
      <c r="W764">
        <v>18</v>
      </c>
    </row>
    <row r="765" spans="1:23">
      <c r="A765"/>
      <c r="B765" t="s">
        <v>52</v>
      </c>
      <c r="C765" t="s">
        <v>52</v>
      </c>
      <c r="D765" t="s">
        <v>33</v>
      </c>
      <c r="E765" t="s">
        <v>34</v>
      </c>
      <c r="F765" t="str">
        <f>"0001087"</f>
        <v>0001087</v>
      </c>
      <c r="G765">
        <v>1</v>
      </c>
      <c r="H765" t="str">
        <f>"00000000"</f>
        <v>00000000</v>
      </c>
      <c r="I765" t="s">
        <v>35</v>
      </c>
      <c r="J765"/>
      <c r="K765">
        <v>10.32</v>
      </c>
      <c r="L765">
        <v>0.0</v>
      </c>
      <c r="M765"/>
      <c r="N765"/>
      <c r="O765">
        <v>1.86</v>
      </c>
      <c r="P765">
        <v>0.0</v>
      </c>
      <c r="Q765">
        <v>12.17</v>
      </c>
      <c r="R765"/>
      <c r="S765"/>
      <c r="T765"/>
      <c r="U765"/>
      <c r="V765"/>
      <c r="W765">
        <v>18</v>
      </c>
    </row>
    <row r="766" spans="1:23">
      <c r="A766"/>
      <c r="B766" t="s">
        <v>52</v>
      </c>
      <c r="C766" t="s">
        <v>52</v>
      </c>
      <c r="D766" t="s">
        <v>33</v>
      </c>
      <c r="E766" t="s">
        <v>34</v>
      </c>
      <c r="F766" t="str">
        <f>"0001088"</f>
        <v>0001088</v>
      </c>
      <c r="G766">
        <v>1</v>
      </c>
      <c r="H766" t="str">
        <f>"00000000"</f>
        <v>00000000</v>
      </c>
      <c r="I766" t="s">
        <v>35</v>
      </c>
      <c r="J766"/>
      <c r="K766">
        <v>0.17</v>
      </c>
      <c r="L766">
        <v>0.0</v>
      </c>
      <c r="M766"/>
      <c r="N766"/>
      <c r="O766">
        <v>0.03</v>
      </c>
      <c r="P766">
        <v>0.4</v>
      </c>
      <c r="Q766">
        <v>0.6</v>
      </c>
      <c r="R766"/>
      <c r="S766"/>
      <c r="T766"/>
      <c r="U766"/>
      <c r="V766"/>
      <c r="W766">
        <v>18</v>
      </c>
    </row>
    <row r="767" spans="1:23">
      <c r="A767"/>
      <c r="B767" t="s">
        <v>52</v>
      </c>
      <c r="C767" t="s">
        <v>52</v>
      </c>
      <c r="D767" t="s">
        <v>33</v>
      </c>
      <c r="E767" t="s">
        <v>34</v>
      </c>
      <c r="F767" t="str">
        <f>"0001089"</f>
        <v>0001089</v>
      </c>
      <c r="G767">
        <v>1</v>
      </c>
      <c r="H767" t="str">
        <f>"00000000"</f>
        <v>00000000</v>
      </c>
      <c r="I767" t="s">
        <v>35</v>
      </c>
      <c r="J767"/>
      <c r="K767">
        <v>28.76</v>
      </c>
      <c r="L767">
        <v>0.0</v>
      </c>
      <c r="M767"/>
      <c r="N767"/>
      <c r="O767">
        <v>5.18</v>
      </c>
      <c r="P767">
        <v>0.2</v>
      </c>
      <c r="Q767">
        <v>34.13</v>
      </c>
      <c r="R767"/>
      <c r="S767"/>
      <c r="T767"/>
      <c r="U767"/>
      <c r="V767"/>
      <c r="W767">
        <v>18</v>
      </c>
    </row>
    <row r="768" spans="1:23">
      <c r="A768"/>
      <c r="B768" t="s">
        <v>52</v>
      </c>
      <c r="C768" t="s">
        <v>52</v>
      </c>
      <c r="D768" t="s">
        <v>33</v>
      </c>
      <c r="E768" t="s">
        <v>34</v>
      </c>
      <c r="F768" t="str">
        <f>"0001090"</f>
        <v>0001090</v>
      </c>
      <c r="G768">
        <v>1</v>
      </c>
      <c r="H768" t="str">
        <f>"00000000"</f>
        <v>00000000</v>
      </c>
      <c r="I768" t="s">
        <v>35</v>
      </c>
      <c r="J768"/>
      <c r="K768">
        <v>12.47</v>
      </c>
      <c r="L768">
        <v>0.0</v>
      </c>
      <c r="M768"/>
      <c r="N768"/>
      <c r="O768">
        <v>2.25</v>
      </c>
      <c r="P768">
        <v>0.0</v>
      </c>
      <c r="Q768">
        <v>14.72</v>
      </c>
      <c r="R768"/>
      <c r="S768"/>
      <c r="T768"/>
      <c r="U768"/>
      <c r="V768"/>
      <c r="W768">
        <v>18</v>
      </c>
    </row>
    <row r="769" spans="1:23">
      <c r="A769"/>
      <c r="B769" t="s">
        <v>52</v>
      </c>
      <c r="C769" t="s">
        <v>52</v>
      </c>
      <c r="D769" t="s">
        <v>33</v>
      </c>
      <c r="E769" t="s">
        <v>34</v>
      </c>
      <c r="F769" t="str">
        <f>"0001091"</f>
        <v>0001091</v>
      </c>
      <c r="G769">
        <v>1</v>
      </c>
      <c r="H769" t="str">
        <f>"00000000"</f>
        <v>00000000</v>
      </c>
      <c r="I769" t="s">
        <v>35</v>
      </c>
      <c r="J769"/>
      <c r="K769">
        <v>12.29</v>
      </c>
      <c r="L769">
        <v>0.0</v>
      </c>
      <c r="M769"/>
      <c r="N769"/>
      <c r="O769">
        <v>2.21</v>
      </c>
      <c r="P769">
        <v>0.0</v>
      </c>
      <c r="Q769">
        <v>14.5</v>
      </c>
      <c r="R769"/>
      <c r="S769"/>
      <c r="T769"/>
      <c r="U769"/>
      <c r="V769"/>
      <c r="W769">
        <v>18</v>
      </c>
    </row>
    <row r="770" spans="1:23">
      <c r="A770"/>
      <c r="B770" t="s">
        <v>52</v>
      </c>
      <c r="C770" t="s">
        <v>52</v>
      </c>
      <c r="D770" t="s">
        <v>33</v>
      </c>
      <c r="E770" t="s">
        <v>34</v>
      </c>
      <c r="F770" t="str">
        <f>"0001092"</f>
        <v>0001092</v>
      </c>
      <c r="G770">
        <v>1</v>
      </c>
      <c r="H770" t="str">
        <f>"00000000"</f>
        <v>00000000</v>
      </c>
      <c r="I770" t="s">
        <v>35</v>
      </c>
      <c r="J770"/>
      <c r="K770">
        <v>1.19</v>
      </c>
      <c r="L770">
        <v>0.0</v>
      </c>
      <c r="M770"/>
      <c r="N770"/>
      <c r="O770">
        <v>0.22</v>
      </c>
      <c r="P770">
        <v>0.0</v>
      </c>
      <c r="Q770">
        <v>1.41</v>
      </c>
      <c r="R770"/>
      <c r="S770"/>
      <c r="T770"/>
      <c r="U770"/>
      <c r="V770"/>
      <c r="W770">
        <v>18</v>
      </c>
    </row>
    <row r="771" spans="1:23">
      <c r="A771"/>
      <c r="B771" t="s">
        <v>52</v>
      </c>
      <c r="C771" t="s">
        <v>52</v>
      </c>
      <c r="D771" t="s">
        <v>33</v>
      </c>
      <c r="E771" t="s">
        <v>34</v>
      </c>
      <c r="F771" t="str">
        <f>"0001093"</f>
        <v>0001093</v>
      </c>
      <c r="G771">
        <v>1</v>
      </c>
      <c r="H771" t="str">
        <f>"00000000"</f>
        <v>00000000</v>
      </c>
      <c r="I771" t="s">
        <v>35</v>
      </c>
      <c r="J771"/>
      <c r="K771">
        <v>1.02</v>
      </c>
      <c r="L771">
        <v>0.0</v>
      </c>
      <c r="M771"/>
      <c r="N771"/>
      <c r="O771">
        <v>0.18</v>
      </c>
      <c r="P771">
        <v>0.0</v>
      </c>
      <c r="Q771">
        <v>1.2</v>
      </c>
      <c r="R771"/>
      <c r="S771"/>
      <c r="T771"/>
      <c r="U771"/>
      <c r="V771"/>
      <c r="W771">
        <v>18</v>
      </c>
    </row>
    <row r="772" spans="1:23">
      <c r="A772"/>
      <c r="B772" t="s">
        <v>52</v>
      </c>
      <c r="C772" t="s">
        <v>52</v>
      </c>
      <c r="D772" t="s">
        <v>33</v>
      </c>
      <c r="E772" t="s">
        <v>34</v>
      </c>
      <c r="F772" t="str">
        <f>"0001094"</f>
        <v>0001094</v>
      </c>
      <c r="G772">
        <v>1</v>
      </c>
      <c r="H772" t="str">
        <f>"00000000"</f>
        <v>00000000</v>
      </c>
      <c r="I772" t="s">
        <v>35</v>
      </c>
      <c r="J772"/>
      <c r="K772">
        <v>32.38</v>
      </c>
      <c r="L772">
        <v>0.0</v>
      </c>
      <c r="M772"/>
      <c r="N772"/>
      <c r="O772">
        <v>5.83</v>
      </c>
      <c r="P772">
        <v>0.0</v>
      </c>
      <c r="Q772">
        <v>38.2</v>
      </c>
      <c r="R772"/>
      <c r="S772"/>
      <c r="T772"/>
      <c r="U772"/>
      <c r="V772"/>
      <c r="W772">
        <v>18</v>
      </c>
    </row>
    <row r="773" spans="1:23">
      <c r="A773"/>
      <c r="B773" t="s">
        <v>52</v>
      </c>
      <c r="C773" t="s">
        <v>52</v>
      </c>
      <c r="D773" t="s">
        <v>36</v>
      </c>
      <c r="E773" t="s">
        <v>37</v>
      </c>
      <c r="F773" t="str">
        <f>"0000024"</f>
        <v>0000024</v>
      </c>
      <c r="G773">
        <v>6</v>
      </c>
      <c r="H773" t="str">
        <f>"10407956759"</f>
        <v>10407956759</v>
      </c>
      <c r="I773" t="s">
        <v>53</v>
      </c>
      <c r="J773"/>
      <c r="K773">
        <v>189.61</v>
      </c>
      <c r="L773">
        <v>0.0</v>
      </c>
      <c r="M773"/>
      <c r="N773"/>
      <c r="O773">
        <v>34.13</v>
      </c>
      <c r="P773">
        <v>0.0</v>
      </c>
      <c r="Q773">
        <v>223.74</v>
      </c>
      <c r="R773"/>
      <c r="S773"/>
      <c r="T773"/>
      <c r="U773"/>
      <c r="V773"/>
      <c r="W773">
        <v>18</v>
      </c>
    </row>
    <row r="774" spans="1:23">
      <c r="A774"/>
      <c r="B774" t="s">
        <v>52</v>
      </c>
      <c r="C774" t="s">
        <v>52</v>
      </c>
      <c r="D774" t="s">
        <v>33</v>
      </c>
      <c r="E774" t="s">
        <v>34</v>
      </c>
      <c r="F774" t="str">
        <f>"0001095"</f>
        <v>0001095</v>
      </c>
      <c r="G774">
        <v>1</v>
      </c>
      <c r="H774" t="str">
        <f>"00000000"</f>
        <v>00000000</v>
      </c>
      <c r="I774" t="s">
        <v>35</v>
      </c>
      <c r="J774"/>
      <c r="K774">
        <v>5.11</v>
      </c>
      <c r="L774">
        <v>0.0</v>
      </c>
      <c r="M774"/>
      <c r="N774"/>
      <c r="O774">
        <v>0.92</v>
      </c>
      <c r="P774">
        <v>0.2</v>
      </c>
      <c r="Q774">
        <v>6.23</v>
      </c>
      <c r="R774"/>
      <c r="S774"/>
      <c r="T774"/>
      <c r="U774"/>
      <c r="V774"/>
      <c r="W774">
        <v>18</v>
      </c>
    </row>
    <row r="775" spans="1:23">
      <c r="A775"/>
      <c r="B775" t="s">
        <v>52</v>
      </c>
      <c r="C775" t="s">
        <v>52</v>
      </c>
      <c r="D775" t="s">
        <v>33</v>
      </c>
      <c r="E775" t="s">
        <v>34</v>
      </c>
      <c r="F775" t="str">
        <f>"0001096"</f>
        <v>0001096</v>
      </c>
      <c r="G775">
        <v>1</v>
      </c>
      <c r="H775" t="str">
        <f>"00000000"</f>
        <v>00000000</v>
      </c>
      <c r="I775" t="s">
        <v>35</v>
      </c>
      <c r="J775"/>
      <c r="K775">
        <v>5.0</v>
      </c>
      <c r="L775">
        <v>0.0</v>
      </c>
      <c r="M775"/>
      <c r="N775"/>
      <c r="O775">
        <v>0.9</v>
      </c>
      <c r="P775">
        <v>0.0</v>
      </c>
      <c r="Q775">
        <v>5.9</v>
      </c>
      <c r="R775"/>
      <c r="S775"/>
      <c r="T775"/>
      <c r="U775"/>
      <c r="V775"/>
      <c r="W775">
        <v>18</v>
      </c>
    </row>
    <row r="776" spans="1:23">
      <c r="A776"/>
      <c r="B776" t="s">
        <v>52</v>
      </c>
      <c r="C776" t="s">
        <v>52</v>
      </c>
      <c r="D776" t="s">
        <v>33</v>
      </c>
      <c r="E776" t="s">
        <v>34</v>
      </c>
      <c r="F776" t="str">
        <f>"0001097"</f>
        <v>0001097</v>
      </c>
      <c r="G776">
        <v>1</v>
      </c>
      <c r="H776" t="str">
        <f>"00000000"</f>
        <v>00000000</v>
      </c>
      <c r="I776" t="s">
        <v>35</v>
      </c>
      <c r="J776"/>
      <c r="K776">
        <v>78.01</v>
      </c>
      <c r="L776">
        <v>0.0</v>
      </c>
      <c r="M776"/>
      <c r="N776"/>
      <c r="O776">
        <v>14.04</v>
      </c>
      <c r="P776">
        <v>0.4</v>
      </c>
      <c r="Q776">
        <v>92.46</v>
      </c>
      <c r="R776"/>
      <c r="S776"/>
      <c r="T776"/>
      <c r="U776"/>
      <c r="V776"/>
      <c r="W776">
        <v>18</v>
      </c>
    </row>
    <row r="777" spans="1:23">
      <c r="A777"/>
      <c r="B777" t="s">
        <v>52</v>
      </c>
      <c r="C777" t="s">
        <v>52</v>
      </c>
      <c r="D777" t="s">
        <v>33</v>
      </c>
      <c r="E777" t="s">
        <v>34</v>
      </c>
      <c r="F777" t="str">
        <f>"0001098"</f>
        <v>0001098</v>
      </c>
      <c r="G777">
        <v>1</v>
      </c>
      <c r="H777" t="str">
        <f>"00000000"</f>
        <v>00000000</v>
      </c>
      <c r="I777" t="s">
        <v>35</v>
      </c>
      <c r="J777"/>
      <c r="K777">
        <v>10.22</v>
      </c>
      <c r="L777">
        <v>0.0</v>
      </c>
      <c r="M777"/>
      <c r="N777"/>
      <c r="O777">
        <v>1.84</v>
      </c>
      <c r="P777">
        <v>0.0</v>
      </c>
      <c r="Q777">
        <v>12.07</v>
      </c>
      <c r="R777"/>
      <c r="S777"/>
      <c r="T777"/>
      <c r="U777"/>
      <c r="V777"/>
      <c r="W777">
        <v>18</v>
      </c>
    </row>
    <row r="778" spans="1:23">
      <c r="A778"/>
      <c r="B778" t="s">
        <v>52</v>
      </c>
      <c r="C778" t="s">
        <v>52</v>
      </c>
      <c r="D778" t="s">
        <v>33</v>
      </c>
      <c r="E778" t="s">
        <v>34</v>
      </c>
      <c r="F778" t="str">
        <f>"0001099"</f>
        <v>0001099</v>
      </c>
      <c r="G778">
        <v>1</v>
      </c>
      <c r="H778" t="str">
        <f>"00000000"</f>
        <v>00000000</v>
      </c>
      <c r="I778" t="s">
        <v>35</v>
      </c>
      <c r="J778"/>
      <c r="K778">
        <v>16.04</v>
      </c>
      <c r="L778">
        <v>0.0</v>
      </c>
      <c r="M778"/>
      <c r="N778"/>
      <c r="O778">
        <v>2.89</v>
      </c>
      <c r="P778">
        <v>0.2</v>
      </c>
      <c r="Q778">
        <v>19.13</v>
      </c>
      <c r="R778"/>
      <c r="S778"/>
      <c r="T778"/>
      <c r="U778"/>
      <c r="V778"/>
      <c r="W778">
        <v>18</v>
      </c>
    </row>
    <row r="779" spans="1:23">
      <c r="A779"/>
      <c r="B779" t="s">
        <v>52</v>
      </c>
      <c r="C779" t="s">
        <v>52</v>
      </c>
      <c r="D779" t="s">
        <v>33</v>
      </c>
      <c r="E779" t="s">
        <v>34</v>
      </c>
      <c r="F779" t="str">
        <f>"0001100"</f>
        <v>0001100</v>
      </c>
      <c r="G779">
        <v>1</v>
      </c>
      <c r="H779" t="str">
        <f>"00000000"</f>
        <v>00000000</v>
      </c>
      <c r="I779" t="s">
        <v>35</v>
      </c>
      <c r="J779"/>
      <c r="K779">
        <v>3.54</v>
      </c>
      <c r="L779">
        <v>0.0</v>
      </c>
      <c r="M779"/>
      <c r="N779"/>
      <c r="O779">
        <v>0.64</v>
      </c>
      <c r="P779">
        <v>0.0</v>
      </c>
      <c r="Q779">
        <v>4.18</v>
      </c>
      <c r="R779"/>
      <c r="S779"/>
      <c r="T779"/>
      <c r="U779"/>
      <c r="V779"/>
      <c r="W779">
        <v>18</v>
      </c>
    </row>
    <row r="780" spans="1:23">
      <c r="A780"/>
      <c r="B780" t="s">
        <v>52</v>
      </c>
      <c r="C780" t="s">
        <v>52</v>
      </c>
      <c r="D780" t="s">
        <v>33</v>
      </c>
      <c r="E780" t="s">
        <v>34</v>
      </c>
      <c r="F780" t="str">
        <f>"0001101"</f>
        <v>0001101</v>
      </c>
      <c r="G780">
        <v>1</v>
      </c>
      <c r="H780" t="str">
        <f>"00000000"</f>
        <v>00000000</v>
      </c>
      <c r="I780" t="s">
        <v>35</v>
      </c>
      <c r="J780"/>
      <c r="K780">
        <v>4.65</v>
      </c>
      <c r="L780">
        <v>0.0</v>
      </c>
      <c r="M780"/>
      <c r="N780"/>
      <c r="O780">
        <v>0.84</v>
      </c>
      <c r="P780">
        <v>0.0</v>
      </c>
      <c r="Q780">
        <v>5.49</v>
      </c>
      <c r="R780"/>
      <c r="S780"/>
      <c r="T780"/>
      <c r="U780"/>
      <c r="V780"/>
      <c r="W780">
        <v>18</v>
      </c>
    </row>
    <row r="781" spans="1:23">
      <c r="A781"/>
      <c r="B781" t="s">
        <v>52</v>
      </c>
      <c r="C781" t="s">
        <v>52</v>
      </c>
      <c r="D781" t="s">
        <v>33</v>
      </c>
      <c r="E781" t="s">
        <v>34</v>
      </c>
      <c r="F781" t="str">
        <f>"0001102"</f>
        <v>0001102</v>
      </c>
      <c r="G781">
        <v>1</v>
      </c>
      <c r="H781" t="str">
        <f>"00000000"</f>
        <v>00000000</v>
      </c>
      <c r="I781" t="s">
        <v>35</v>
      </c>
      <c r="J781"/>
      <c r="K781">
        <v>4.24</v>
      </c>
      <c r="L781">
        <v>0.0</v>
      </c>
      <c r="M781"/>
      <c r="N781"/>
      <c r="O781">
        <v>0.76</v>
      </c>
      <c r="P781">
        <v>0.0</v>
      </c>
      <c r="Q781">
        <v>5.0</v>
      </c>
      <c r="R781"/>
      <c r="S781"/>
      <c r="T781"/>
      <c r="U781"/>
      <c r="V781"/>
      <c r="W781">
        <v>18</v>
      </c>
    </row>
    <row r="782" spans="1:23">
      <c r="A782"/>
      <c r="B782" t="s">
        <v>52</v>
      </c>
      <c r="C782" t="s">
        <v>52</v>
      </c>
      <c r="D782" t="s">
        <v>33</v>
      </c>
      <c r="E782" t="s">
        <v>34</v>
      </c>
      <c r="F782" t="str">
        <f>"0001103"</f>
        <v>0001103</v>
      </c>
      <c r="G782">
        <v>1</v>
      </c>
      <c r="H782" t="str">
        <f>"00000000"</f>
        <v>00000000</v>
      </c>
      <c r="I782" t="s">
        <v>35</v>
      </c>
      <c r="J782"/>
      <c r="K782">
        <v>10.42</v>
      </c>
      <c r="L782">
        <v>0.0</v>
      </c>
      <c r="M782"/>
      <c r="N782"/>
      <c r="O782">
        <v>1.88</v>
      </c>
      <c r="P782">
        <v>0.0</v>
      </c>
      <c r="Q782">
        <v>12.3</v>
      </c>
      <c r="R782"/>
      <c r="S782"/>
      <c r="T782"/>
      <c r="U782"/>
      <c r="V782"/>
      <c r="W782">
        <v>18</v>
      </c>
    </row>
    <row r="783" spans="1:23">
      <c r="A783"/>
      <c r="B783" t="s">
        <v>52</v>
      </c>
      <c r="C783" t="s">
        <v>52</v>
      </c>
      <c r="D783" t="s">
        <v>33</v>
      </c>
      <c r="E783" t="s">
        <v>34</v>
      </c>
      <c r="F783" t="str">
        <f>"0001104"</f>
        <v>0001104</v>
      </c>
      <c r="G783">
        <v>1</v>
      </c>
      <c r="H783" t="str">
        <f>"00000000"</f>
        <v>00000000</v>
      </c>
      <c r="I783" t="s">
        <v>35</v>
      </c>
      <c r="J783"/>
      <c r="K783">
        <v>7.42</v>
      </c>
      <c r="L783">
        <v>0.0</v>
      </c>
      <c r="M783"/>
      <c r="N783"/>
      <c r="O783">
        <v>1.33</v>
      </c>
      <c r="P783">
        <v>0.0</v>
      </c>
      <c r="Q783">
        <v>8.75</v>
      </c>
      <c r="R783"/>
      <c r="S783"/>
      <c r="T783"/>
      <c r="U783"/>
      <c r="V783"/>
      <c r="W783">
        <v>18</v>
      </c>
    </row>
    <row r="784" spans="1:23">
      <c r="A784"/>
      <c r="B784" t="s">
        <v>52</v>
      </c>
      <c r="C784" t="s">
        <v>52</v>
      </c>
      <c r="D784" t="s">
        <v>33</v>
      </c>
      <c r="E784" t="s">
        <v>34</v>
      </c>
      <c r="F784" t="str">
        <f>"0001105"</f>
        <v>0001105</v>
      </c>
      <c r="G784">
        <v>1</v>
      </c>
      <c r="H784" t="str">
        <f>"00000000"</f>
        <v>00000000</v>
      </c>
      <c r="I784" t="s">
        <v>35</v>
      </c>
      <c r="J784"/>
      <c r="K784">
        <v>21.19</v>
      </c>
      <c r="L784">
        <v>0.0</v>
      </c>
      <c r="M784"/>
      <c r="N784"/>
      <c r="O784">
        <v>3.81</v>
      </c>
      <c r="P784">
        <v>0.0</v>
      </c>
      <c r="Q784">
        <v>25.0</v>
      </c>
      <c r="R784"/>
      <c r="S784"/>
      <c r="T784"/>
      <c r="U784"/>
      <c r="V784"/>
      <c r="W784">
        <v>18</v>
      </c>
    </row>
    <row r="785" spans="1:23">
      <c r="A785"/>
      <c r="B785" t="s">
        <v>52</v>
      </c>
      <c r="C785" t="s">
        <v>52</v>
      </c>
      <c r="D785" t="s">
        <v>33</v>
      </c>
      <c r="E785" t="s">
        <v>34</v>
      </c>
      <c r="F785" t="str">
        <f>"0001106"</f>
        <v>0001106</v>
      </c>
      <c r="G785">
        <v>1</v>
      </c>
      <c r="H785" t="str">
        <f>"00000000"</f>
        <v>00000000</v>
      </c>
      <c r="I785" t="s">
        <v>35</v>
      </c>
      <c r="J785"/>
      <c r="K785">
        <v>86.27</v>
      </c>
      <c r="L785">
        <v>0.0</v>
      </c>
      <c r="M785"/>
      <c r="N785"/>
      <c r="O785">
        <v>15.53</v>
      </c>
      <c r="P785">
        <v>0.4</v>
      </c>
      <c r="Q785">
        <v>102.2</v>
      </c>
      <c r="R785"/>
      <c r="S785"/>
      <c r="T785"/>
      <c r="U785"/>
      <c r="V785"/>
      <c r="W785">
        <v>18</v>
      </c>
    </row>
    <row r="786" spans="1:23">
      <c r="A786"/>
      <c r="B786" t="s">
        <v>52</v>
      </c>
      <c r="C786" t="s">
        <v>52</v>
      </c>
      <c r="D786" t="s">
        <v>33</v>
      </c>
      <c r="E786" t="s">
        <v>34</v>
      </c>
      <c r="F786" t="str">
        <f>"0001107"</f>
        <v>0001107</v>
      </c>
      <c r="G786">
        <v>1</v>
      </c>
      <c r="H786" t="str">
        <f>"00000000"</f>
        <v>00000000</v>
      </c>
      <c r="I786" t="s">
        <v>35</v>
      </c>
      <c r="J786"/>
      <c r="K786">
        <v>5.14</v>
      </c>
      <c r="L786">
        <v>0.0</v>
      </c>
      <c r="M786"/>
      <c r="N786"/>
      <c r="O786">
        <v>0.92</v>
      </c>
      <c r="P786">
        <v>0.0</v>
      </c>
      <c r="Q786">
        <v>6.06</v>
      </c>
      <c r="R786"/>
      <c r="S786"/>
      <c r="T786"/>
      <c r="U786"/>
      <c r="V786"/>
      <c r="W786">
        <v>18</v>
      </c>
    </row>
    <row r="787" spans="1:23">
      <c r="A787"/>
      <c r="B787" t="s">
        <v>52</v>
      </c>
      <c r="C787" t="s">
        <v>52</v>
      </c>
      <c r="D787" t="s">
        <v>33</v>
      </c>
      <c r="E787" t="s">
        <v>34</v>
      </c>
      <c r="F787" t="str">
        <f>"0001108"</f>
        <v>0001108</v>
      </c>
      <c r="G787">
        <v>1</v>
      </c>
      <c r="H787" t="str">
        <f>"00000000"</f>
        <v>00000000</v>
      </c>
      <c r="I787" t="s">
        <v>35</v>
      </c>
      <c r="J787"/>
      <c r="K787">
        <v>25.25</v>
      </c>
      <c r="L787">
        <v>0.0</v>
      </c>
      <c r="M787"/>
      <c r="N787"/>
      <c r="O787">
        <v>4.55</v>
      </c>
      <c r="P787">
        <v>0.2</v>
      </c>
      <c r="Q787">
        <v>30.0</v>
      </c>
      <c r="R787"/>
      <c r="S787"/>
      <c r="T787"/>
      <c r="U787"/>
      <c r="V787"/>
      <c r="W787">
        <v>18</v>
      </c>
    </row>
    <row r="788" spans="1:23">
      <c r="A788"/>
      <c r="B788" t="s">
        <v>52</v>
      </c>
      <c r="C788" t="s">
        <v>52</v>
      </c>
      <c r="D788" t="s">
        <v>33</v>
      </c>
      <c r="E788" t="s">
        <v>34</v>
      </c>
      <c r="F788" t="str">
        <f>"0001109"</f>
        <v>0001109</v>
      </c>
      <c r="G788">
        <v>1</v>
      </c>
      <c r="H788" t="str">
        <f>"00000000"</f>
        <v>00000000</v>
      </c>
      <c r="I788" t="s">
        <v>35</v>
      </c>
      <c r="J788"/>
      <c r="K788">
        <v>24.92</v>
      </c>
      <c r="L788">
        <v>0.0</v>
      </c>
      <c r="M788"/>
      <c r="N788"/>
      <c r="O788">
        <v>4.48</v>
      </c>
      <c r="P788">
        <v>0.0</v>
      </c>
      <c r="Q788">
        <v>29.4</v>
      </c>
      <c r="R788"/>
      <c r="S788"/>
      <c r="T788"/>
      <c r="U788"/>
      <c r="V788"/>
      <c r="W788">
        <v>18</v>
      </c>
    </row>
    <row r="789" spans="1:23">
      <c r="A789"/>
      <c r="B789" t="s">
        <v>52</v>
      </c>
      <c r="C789" t="s">
        <v>52</v>
      </c>
      <c r="D789" t="s">
        <v>33</v>
      </c>
      <c r="E789" t="s">
        <v>34</v>
      </c>
      <c r="F789" t="str">
        <f>"0001110"</f>
        <v>0001110</v>
      </c>
      <c r="G789">
        <v>1</v>
      </c>
      <c r="H789" t="str">
        <f>"00000000"</f>
        <v>00000000</v>
      </c>
      <c r="I789" t="s">
        <v>35</v>
      </c>
      <c r="J789"/>
      <c r="K789">
        <v>10.14</v>
      </c>
      <c r="L789">
        <v>0.0</v>
      </c>
      <c r="M789"/>
      <c r="N789"/>
      <c r="O789">
        <v>1.82</v>
      </c>
      <c r="P789">
        <v>0.0</v>
      </c>
      <c r="Q789">
        <v>11.96</v>
      </c>
      <c r="R789"/>
      <c r="S789"/>
      <c r="T789"/>
      <c r="U789"/>
      <c r="V789"/>
      <c r="W789">
        <v>18</v>
      </c>
    </row>
    <row r="790" spans="1:23">
      <c r="A790"/>
      <c r="B790" t="s">
        <v>52</v>
      </c>
      <c r="C790" t="s">
        <v>52</v>
      </c>
      <c r="D790" t="s">
        <v>33</v>
      </c>
      <c r="E790" t="s">
        <v>34</v>
      </c>
      <c r="F790" t="str">
        <f>"0001111"</f>
        <v>0001111</v>
      </c>
      <c r="G790">
        <v>1</v>
      </c>
      <c r="H790" t="str">
        <f>"00000000"</f>
        <v>00000000</v>
      </c>
      <c r="I790" t="s">
        <v>35</v>
      </c>
      <c r="J790"/>
      <c r="K790">
        <v>2.57</v>
      </c>
      <c r="L790">
        <v>0.0</v>
      </c>
      <c r="M790"/>
      <c r="N790"/>
      <c r="O790">
        <v>0.46</v>
      </c>
      <c r="P790">
        <v>0.0</v>
      </c>
      <c r="Q790">
        <v>3.03</v>
      </c>
      <c r="R790"/>
      <c r="S790"/>
      <c r="T790"/>
      <c r="U790"/>
      <c r="V790"/>
      <c r="W790">
        <v>18</v>
      </c>
    </row>
    <row r="791" spans="1:23">
      <c r="A791"/>
      <c r="B791" t="s">
        <v>52</v>
      </c>
      <c r="C791" t="s">
        <v>52</v>
      </c>
      <c r="D791" t="s">
        <v>33</v>
      </c>
      <c r="E791" t="s">
        <v>34</v>
      </c>
      <c r="F791" t="str">
        <f>"0001112"</f>
        <v>0001112</v>
      </c>
      <c r="G791">
        <v>1</v>
      </c>
      <c r="H791" t="str">
        <f>"00000000"</f>
        <v>00000000</v>
      </c>
      <c r="I791" t="s">
        <v>35</v>
      </c>
      <c r="J791"/>
      <c r="K791">
        <v>0.08</v>
      </c>
      <c r="L791">
        <v>0.0</v>
      </c>
      <c r="M791"/>
      <c r="N791"/>
      <c r="O791">
        <v>0.02</v>
      </c>
      <c r="P791">
        <v>0.2</v>
      </c>
      <c r="Q791">
        <v>0.3</v>
      </c>
      <c r="R791"/>
      <c r="S791"/>
      <c r="T791"/>
      <c r="U791"/>
      <c r="V791"/>
      <c r="W791">
        <v>18</v>
      </c>
    </row>
    <row r="792" spans="1:23">
      <c r="A792"/>
      <c r="B792" t="s">
        <v>52</v>
      </c>
      <c r="C792" t="s">
        <v>52</v>
      </c>
      <c r="D792" t="s">
        <v>33</v>
      </c>
      <c r="E792" t="s">
        <v>34</v>
      </c>
      <c r="F792" t="str">
        <f>"0001113"</f>
        <v>0001113</v>
      </c>
      <c r="G792">
        <v>1</v>
      </c>
      <c r="H792" t="str">
        <f>"00000000"</f>
        <v>00000000</v>
      </c>
      <c r="I792" t="s">
        <v>35</v>
      </c>
      <c r="J792"/>
      <c r="K792">
        <v>3.38</v>
      </c>
      <c r="L792">
        <v>0.0</v>
      </c>
      <c r="M792"/>
      <c r="N792"/>
      <c r="O792">
        <v>0.61</v>
      </c>
      <c r="P792">
        <v>0.0</v>
      </c>
      <c r="Q792">
        <v>3.99</v>
      </c>
      <c r="R792"/>
      <c r="S792"/>
      <c r="T792"/>
      <c r="U792"/>
      <c r="V792"/>
      <c r="W792">
        <v>18</v>
      </c>
    </row>
    <row r="793" spans="1:23">
      <c r="A793"/>
      <c r="B793" t="s">
        <v>52</v>
      </c>
      <c r="C793" t="s">
        <v>52</v>
      </c>
      <c r="D793" t="s">
        <v>33</v>
      </c>
      <c r="E793" t="s">
        <v>34</v>
      </c>
      <c r="F793" t="str">
        <f>"0001114"</f>
        <v>0001114</v>
      </c>
      <c r="G793">
        <v>1</v>
      </c>
      <c r="H793" t="str">
        <f>"00000000"</f>
        <v>00000000</v>
      </c>
      <c r="I793" t="s">
        <v>35</v>
      </c>
      <c r="J793"/>
      <c r="K793">
        <v>11.52</v>
      </c>
      <c r="L793">
        <v>0.0</v>
      </c>
      <c r="M793"/>
      <c r="N793"/>
      <c r="O793">
        <v>2.07</v>
      </c>
      <c r="P793">
        <v>0.0</v>
      </c>
      <c r="Q793">
        <v>13.59</v>
      </c>
      <c r="R793"/>
      <c r="S793"/>
      <c r="T793"/>
      <c r="U793"/>
      <c r="V793"/>
      <c r="W793">
        <v>18</v>
      </c>
    </row>
    <row r="794" spans="1:23">
      <c r="A794"/>
      <c r="B794" t="s">
        <v>52</v>
      </c>
      <c r="C794" t="s">
        <v>52</v>
      </c>
      <c r="D794" t="s">
        <v>33</v>
      </c>
      <c r="E794" t="s">
        <v>34</v>
      </c>
      <c r="F794" t="str">
        <f>"0001115"</f>
        <v>0001115</v>
      </c>
      <c r="G794">
        <v>1</v>
      </c>
      <c r="H794" t="str">
        <f>"00000000"</f>
        <v>00000000</v>
      </c>
      <c r="I794" t="s">
        <v>35</v>
      </c>
      <c r="J794"/>
      <c r="K794">
        <v>0.97</v>
      </c>
      <c r="L794">
        <v>0.0</v>
      </c>
      <c r="M794"/>
      <c r="N794"/>
      <c r="O794">
        <v>0.17</v>
      </c>
      <c r="P794">
        <v>0.0</v>
      </c>
      <c r="Q794">
        <v>1.14</v>
      </c>
      <c r="R794"/>
      <c r="S794"/>
      <c r="T794"/>
      <c r="U794"/>
      <c r="V794"/>
      <c r="W794">
        <v>18</v>
      </c>
    </row>
    <row r="795" spans="1:23">
      <c r="A795"/>
      <c r="B795" t="s">
        <v>52</v>
      </c>
      <c r="C795" t="s">
        <v>52</v>
      </c>
      <c r="D795" t="s">
        <v>33</v>
      </c>
      <c r="E795" t="s">
        <v>34</v>
      </c>
      <c r="F795" t="str">
        <f>"0001116"</f>
        <v>0001116</v>
      </c>
      <c r="G795">
        <v>1</v>
      </c>
      <c r="H795" t="str">
        <f>"00000000"</f>
        <v>00000000</v>
      </c>
      <c r="I795" t="s">
        <v>35</v>
      </c>
      <c r="J795"/>
      <c r="K795">
        <v>0.04</v>
      </c>
      <c r="L795">
        <v>0.0</v>
      </c>
      <c r="M795"/>
      <c r="N795"/>
      <c r="O795">
        <v>0.01</v>
      </c>
      <c r="P795">
        <v>0.2</v>
      </c>
      <c r="Q795">
        <v>0.25</v>
      </c>
      <c r="R795"/>
      <c r="S795"/>
      <c r="T795"/>
      <c r="U795"/>
      <c r="V795"/>
      <c r="W795">
        <v>18</v>
      </c>
    </row>
    <row r="796" spans="1:23">
      <c r="A796"/>
      <c r="B796" t="s">
        <v>52</v>
      </c>
      <c r="C796" t="s">
        <v>52</v>
      </c>
      <c r="D796" t="s">
        <v>33</v>
      </c>
      <c r="E796" t="s">
        <v>34</v>
      </c>
      <c r="F796" t="str">
        <f>"0001117"</f>
        <v>0001117</v>
      </c>
      <c r="G796">
        <v>1</v>
      </c>
      <c r="H796" t="str">
        <f>"00000000"</f>
        <v>00000000</v>
      </c>
      <c r="I796" t="s">
        <v>35</v>
      </c>
      <c r="J796"/>
      <c r="K796">
        <v>0.75</v>
      </c>
      <c r="L796">
        <v>0.0</v>
      </c>
      <c r="M796"/>
      <c r="N796"/>
      <c r="O796">
        <v>0.14</v>
      </c>
      <c r="P796">
        <v>0.0</v>
      </c>
      <c r="Q796">
        <v>0.89</v>
      </c>
      <c r="R796"/>
      <c r="S796"/>
      <c r="T796"/>
      <c r="U796"/>
      <c r="V796"/>
      <c r="W796">
        <v>18</v>
      </c>
    </row>
    <row r="797" spans="1:23">
      <c r="A797"/>
      <c r="B797" t="s">
        <v>52</v>
      </c>
      <c r="C797" t="s">
        <v>52</v>
      </c>
      <c r="D797" t="s">
        <v>33</v>
      </c>
      <c r="E797" t="s">
        <v>34</v>
      </c>
      <c r="F797" t="str">
        <f>"0001118"</f>
        <v>0001118</v>
      </c>
      <c r="G797">
        <v>1</v>
      </c>
      <c r="H797" t="str">
        <f>"00000000"</f>
        <v>00000000</v>
      </c>
      <c r="I797" t="s">
        <v>35</v>
      </c>
      <c r="J797"/>
      <c r="K797">
        <v>4.03</v>
      </c>
      <c r="L797">
        <v>0.0</v>
      </c>
      <c r="M797"/>
      <c r="N797"/>
      <c r="O797">
        <v>0.73</v>
      </c>
      <c r="P797">
        <v>0.0</v>
      </c>
      <c r="Q797">
        <v>4.76</v>
      </c>
      <c r="R797"/>
      <c r="S797"/>
      <c r="T797"/>
      <c r="U797"/>
      <c r="V797"/>
      <c r="W797">
        <v>18</v>
      </c>
    </row>
    <row r="798" spans="1:23">
      <c r="A798"/>
      <c r="B798" t="s">
        <v>52</v>
      </c>
      <c r="C798" t="s">
        <v>52</v>
      </c>
      <c r="D798" t="s">
        <v>33</v>
      </c>
      <c r="E798" t="s">
        <v>34</v>
      </c>
      <c r="F798" t="str">
        <f>"0001119"</f>
        <v>0001119</v>
      </c>
      <c r="G798">
        <v>1</v>
      </c>
      <c r="H798" t="str">
        <f>"00000000"</f>
        <v>00000000</v>
      </c>
      <c r="I798" t="s">
        <v>35</v>
      </c>
      <c r="J798"/>
      <c r="K798">
        <v>3.72</v>
      </c>
      <c r="L798">
        <v>0.0</v>
      </c>
      <c r="M798"/>
      <c r="N798"/>
      <c r="O798">
        <v>0.67</v>
      </c>
      <c r="P798">
        <v>0.0</v>
      </c>
      <c r="Q798">
        <v>4.39</v>
      </c>
      <c r="R798"/>
      <c r="S798"/>
      <c r="T798"/>
      <c r="U798"/>
      <c r="V798"/>
      <c r="W798">
        <v>18</v>
      </c>
    </row>
    <row r="799" spans="1:23">
      <c r="A799"/>
      <c r="B799" t="s">
        <v>52</v>
      </c>
      <c r="C799" t="s">
        <v>52</v>
      </c>
      <c r="D799" t="s">
        <v>33</v>
      </c>
      <c r="E799" t="s">
        <v>34</v>
      </c>
      <c r="F799" t="str">
        <f>"0001120"</f>
        <v>0001120</v>
      </c>
      <c r="G799">
        <v>1</v>
      </c>
      <c r="H799" t="str">
        <f>"00000000"</f>
        <v>00000000</v>
      </c>
      <c r="I799" t="s">
        <v>35</v>
      </c>
      <c r="J799"/>
      <c r="K799">
        <v>0.85</v>
      </c>
      <c r="L799">
        <v>0.0</v>
      </c>
      <c r="M799"/>
      <c r="N799"/>
      <c r="O799">
        <v>0.15</v>
      </c>
      <c r="P799">
        <v>0.0</v>
      </c>
      <c r="Q799">
        <v>1.0</v>
      </c>
      <c r="R799"/>
      <c r="S799"/>
      <c r="T799"/>
      <c r="U799"/>
      <c r="V799"/>
      <c r="W799">
        <v>18</v>
      </c>
    </row>
    <row r="800" spans="1:23">
      <c r="A800"/>
      <c r="B800" t="s">
        <v>52</v>
      </c>
      <c r="C800" t="s">
        <v>52</v>
      </c>
      <c r="D800" t="s">
        <v>33</v>
      </c>
      <c r="E800" t="s">
        <v>34</v>
      </c>
      <c r="F800" t="str">
        <f>"0001121"</f>
        <v>0001121</v>
      </c>
      <c r="G800">
        <v>1</v>
      </c>
      <c r="H800" t="str">
        <f>"00000000"</f>
        <v>00000000</v>
      </c>
      <c r="I800" t="s">
        <v>35</v>
      </c>
      <c r="J800"/>
      <c r="K800">
        <v>32.86</v>
      </c>
      <c r="L800">
        <v>0.0</v>
      </c>
      <c r="M800"/>
      <c r="N800"/>
      <c r="O800">
        <v>5.91</v>
      </c>
      <c r="P800">
        <v>0.2</v>
      </c>
      <c r="Q800">
        <v>38.97</v>
      </c>
      <c r="R800"/>
      <c r="S800"/>
      <c r="T800"/>
      <c r="U800"/>
      <c r="V800"/>
      <c r="W800">
        <v>18</v>
      </c>
    </row>
    <row r="801" spans="1:23">
      <c r="A801"/>
      <c r="B801" t="s">
        <v>52</v>
      </c>
      <c r="C801" t="s">
        <v>52</v>
      </c>
      <c r="D801" t="s">
        <v>33</v>
      </c>
      <c r="E801" t="s">
        <v>34</v>
      </c>
      <c r="F801" t="str">
        <f>"0001122"</f>
        <v>0001122</v>
      </c>
      <c r="G801">
        <v>1</v>
      </c>
      <c r="H801" t="str">
        <f>"00000000"</f>
        <v>00000000</v>
      </c>
      <c r="I801" t="s">
        <v>35</v>
      </c>
      <c r="J801"/>
      <c r="K801">
        <v>19.17</v>
      </c>
      <c r="L801">
        <v>0.0</v>
      </c>
      <c r="M801"/>
      <c r="N801"/>
      <c r="O801">
        <v>3.45</v>
      </c>
      <c r="P801">
        <v>0.0</v>
      </c>
      <c r="Q801">
        <v>22.62</v>
      </c>
      <c r="R801"/>
      <c r="S801"/>
      <c r="T801"/>
      <c r="U801"/>
      <c r="V801"/>
      <c r="W801">
        <v>18</v>
      </c>
    </row>
    <row r="802" spans="1:23">
      <c r="A802"/>
      <c r="B802" t="s">
        <v>52</v>
      </c>
      <c r="C802" t="s">
        <v>52</v>
      </c>
      <c r="D802" t="s">
        <v>33</v>
      </c>
      <c r="E802" t="s">
        <v>34</v>
      </c>
      <c r="F802" t="str">
        <f>"0001123"</f>
        <v>0001123</v>
      </c>
      <c r="G802">
        <v>1</v>
      </c>
      <c r="H802" t="str">
        <f>"00000000"</f>
        <v>00000000</v>
      </c>
      <c r="I802" t="s">
        <v>35</v>
      </c>
      <c r="J802"/>
      <c r="K802">
        <v>33.81</v>
      </c>
      <c r="L802">
        <v>0.0</v>
      </c>
      <c r="M802"/>
      <c r="N802"/>
      <c r="O802">
        <v>6.09</v>
      </c>
      <c r="P802">
        <v>0.2</v>
      </c>
      <c r="Q802">
        <v>40.1</v>
      </c>
      <c r="R802"/>
      <c r="S802"/>
      <c r="T802"/>
      <c r="U802"/>
      <c r="V802"/>
      <c r="W802">
        <v>18</v>
      </c>
    </row>
    <row r="803" spans="1:23">
      <c r="A803"/>
      <c r="B803" t="s">
        <v>52</v>
      </c>
      <c r="C803" t="s">
        <v>52</v>
      </c>
      <c r="D803" t="s">
        <v>33</v>
      </c>
      <c r="E803" t="s">
        <v>34</v>
      </c>
      <c r="F803" t="str">
        <f>"0001124"</f>
        <v>0001124</v>
      </c>
      <c r="G803">
        <v>1</v>
      </c>
      <c r="H803" t="str">
        <f>"00000000"</f>
        <v>00000000</v>
      </c>
      <c r="I803" t="s">
        <v>35</v>
      </c>
      <c r="J803"/>
      <c r="K803">
        <v>0.08</v>
      </c>
      <c r="L803">
        <v>0.0</v>
      </c>
      <c r="M803"/>
      <c r="N803"/>
      <c r="O803">
        <v>0.02</v>
      </c>
      <c r="P803">
        <v>0.2</v>
      </c>
      <c r="Q803">
        <v>0.3</v>
      </c>
      <c r="R803"/>
      <c r="S803"/>
      <c r="T803"/>
      <c r="U803"/>
      <c r="V803"/>
      <c r="W803">
        <v>18</v>
      </c>
    </row>
    <row r="804" spans="1:23">
      <c r="A804"/>
      <c r="B804" t="s">
        <v>52</v>
      </c>
      <c r="C804" t="s">
        <v>52</v>
      </c>
      <c r="D804" t="s">
        <v>33</v>
      </c>
      <c r="E804" t="s">
        <v>34</v>
      </c>
      <c r="F804" t="str">
        <f>"0001125"</f>
        <v>0001125</v>
      </c>
      <c r="G804">
        <v>1</v>
      </c>
      <c r="H804" t="str">
        <f>"00000000"</f>
        <v>00000000</v>
      </c>
      <c r="I804" t="s">
        <v>35</v>
      </c>
      <c r="J804"/>
      <c r="K804">
        <v>15.34</v>
      </c>
      <c r="L804">
        <v>0.0</v>
      </c>
      <c r="M804"/>
      <c r="N804"/>
      <c r="O804">
        <v>2.76</v>
      </c>
      <c r="P804">
        <v>0.2</v>
      </c>
      <c r="Q804">
        <v>18.3</v>
      </c>
      <c r="R804"/>
      <c r="S804"/>
      <c r="T804"/>
      <c r="U804"/>
      <c r="V804"/>
      <c r="W804">
        <v>18</v>
      </c>
    </row>
    <row r="805" spans="1:23">
      <c r="A805"/>
      <c r="B805" t="s">
        <v>52</v>
      </c>
      <c r="C805" t="s">
        <v>52</v>
      </c>
      <c r="D805" t="s">
        <v>33</v>
      </c>
      <c r="E805" t="s">
        <v>34</v>
      </c>
      <c r="F805" t="str">
        <f>"0001126"</f>
        <v>0001126</v>
      </c>
      <c r="G805">
        <v>1</v>
      </c>
      <c r="H805" t="str">
        <f>"00000000"</f>
        <v>00000000</v>
      </c>
      <c r="I805" t="s">
        <v>35</v>
      </c>
      <c r="J805"/>
      <c r="K805">
        <v>6.82</v>
      </c>
      <c r="L805">
        <v>0.0</v>
      </c>
      <c r="M805"/>
      <c r="N805"/>
      <c r="O805">
        <v>1.23</v>
      </c>
      <c r="P805">
        <v>0.0</v>
      </c>
      <c r="Q805">
        <v>8.05</v>
      </c>
      <c r="R805"/>
      <c r="S805"/>
      <c r="T805"/>
      <c r="U805"/>
      <c r="V805"/>
      <c r="W805">
        <v>18</v>
      </c>
    </row>
    <row r="806" spans="1:23">
      <c r="A806"/>
      <c r="B806" t="s">
        <v>52</v>
      </c>
      <c r="C806" t="s">
        <v>52</v>
      </c>
      <c r="D806" t="s">
        <v>33</v>
      </c>
      <c r="E806" t="s">
        <v>34</v>
      </c>
      <c r="F806" t="str">
        <f>"0001127"</f>
        <v>0001127</v>
      </c>
      <c r="G806">
        <v>1</v>
      </c>
      <c r="H806" t="str">
        <f>"00000000"</f>
        <v>00000000</v>
      </c>
      <c r="I806" t="s">
        <v>35</v>
      </c>
      <c r="J806"/>
      <c r="K806">
        <v>14.41</v>
      </c>
      <c r="L806">
        <v>0.0</v>
      </c>
      <c r="M806"/>
      <c r="N806"/>
      <c r="O806">
        <v>2.59</v>
      </c>
      <c r="P806">
        <v>0.2</v>
      </c>
      <c r="Q806">
        <v>17.2</v>
      </c>
      <c r="R806"/>
      <c r="S806"/>
      <c r="T806"/>
      <c r="U806"/>
      <c r="V806"/>
      <c r="W806">
        <v>18</v>
      </c>
    </row>
    <row r="807" spans="1:23">
      <c r="A807"/>
      <c r="B807" t="s">
        <v>52</v>
      </c>
      <c r="C807" t="s">
        <v>52</v>
      </c>
      <c r="D807" t="s">
        <v>33</v>
      </c>
      <c r="E807" t="s">
        <v>34</v>
      </c>
      <c r="F807" t="str">
        <f>"0001128"</f>
        <v>0001128</v>
      </c>
      <c r="G807">
        <v>1</v>
      </c>
      <c r="H807" t="str">
        <f>"00000000"</f>
        <v>00000000</v>
      </c>
      <c r="I807" t="s">
        <v>35</v>
      </c>
      <c r="J807"/>
      <c r="K807">
        <v>2.03</v>
      </c>
      <c r="L807">
        <v>0.0</v>
      </c>
      <c r="M807"/>
      <c r="N807"/>
      <c r="O807">
        <v>0.37</v>
      </c>
      <c r="P807">
        <v>0.0</v>
      </c>
      <c r="Q807">
        <v>2.4</v>
      </c>
      <c r="R807"/>
      <c r="S807"/>
      <c r="T807"/>
      <c r="U807"/>
      <c r="V807"/>
      <c r="W807">
        <v>18</v>
      </c>
    </row>
    <row r="808" spans="1:23">
      <c r="A808"/>
      <c r="B808" t="s">
        <v>52</v>
      </c>
      <c r="C808" t="s">
        <v>52</v>
      </c>
      <c r="D808" t="s">
        <v>33</v>
      </c>
      <c r="E808" t="s">
        <v>34</v>
      </c>
      <c r="F808" t="str">
        <f>"0001129"</f>
        <v>0001129</v>
      </c>
      <c r="G808">
        <v>1</v>
      </c>
      <c r="H808" t="str">
        <f>"00000000"</f>
        <v>00000000</v>
      </c>
      <c r="I808" t="s">
        <v>35</v>
      </c>
      <c r="J808"/>
      <c r="K808">
        <v>2.03</v>
      </c>
      <c r="L808">
        <v>0.0</v>
      </c>
      <c r="M808"/>
      <c r="N808"/>
      <c r="O808">
        <v>0.37</v>
      </c>
      <c r="P808">
        <v>0.0</v>
      </c>
      <c r="Q808">
        <v>2.4</v>
      </c>
      <c r="R808"/>
      <c r="S808"/>
      <c r="T808"/>
      <c r="U808"/>
      <c r="V808"/>
      <c r="W808">
        <v>18</v>
      </c>
    </row>
    <row r="809" spans="1:23">
      <c r="A809"/>
      <c r="B809" t="s">
        <v>52</v>
      </c>
      <c r="C809" t="s">
        <v>52</v>
      </c>
      <c r="D809" t="s">
        <v>33</v>
      </c>
      <c r="E809" t="s">
        <v>34</v>
      </c>
      <c r="F809" t="str">
        <f>"0001130"</f>
        <v>0001130</v>
      </c>
      <c r="G809">
        <v>1</v>
      </c>
      <c r="H809" t="str">
        <f>"00000000"</f>
        <v>00000000</v>
      </c>
      <c r="I809" t="s">
        <v>35</v>
      </c>
      <c r="J809"/>
      <c r="K809">
        <v>1.86</v>
      </c>
      <c r="L809">
        <v>0.0</v>
      </c>
      <c r="M809"/>
      <c r="N809"/>
      <c r="O809">
        <v>0.34</v>
      </c>
      <c r="P809">
        <v>0.0</v>
      </c>
      <c r="Q809">
        <v>2.2</v>
      </c>
      <c r="R809"/>
      <c r="S809"/>
      <c r="T809"/>
      <c r="U809"/>
      <c r="V809"/>
      <c r="W809">
        <v>18</v>
      </c>
    </row>
    <row r="810" spans="1:23">
      <c r="A810"/>
      <c r="B810" t="s">
        <v>52</v>
      </c>
      <c r="C810" t="s">
        <v>52</v>
      </c>
      <c r="D810" t="s">
        <v>33</v>
      </c>
      <c r="E810" t="s">
        <v>34</v>
      </c>
      <c r="F810" t="str">
        <f>"0001131"</f>
        <v>0001131</v>
      </c>
      <c r="G810">
        <v>1</v>
      </c>
      <c r="H810" t="str">
        <f>"00000000"</f>
        <v>00000000</v>
      </c>
      <c r="I810" t="s">
        <v>35</v>
      </c>
      <c r="J810"/>
      <c r="K810">
        <v>11.11</v>
      </c>
      <c r="L810">
        <v>0.0</v>
      </c>
      <c r="M810"/>
      <c r="N810"/>
      <c r="O810">
        <v>2.0</v>
      </c>
      <c r="P810">
        <v>0.2</v>
      </c>
      <c r="Q810">
        <v>13.32</v>
      </c>
      <c r="R810"/>
      <c r="S810"/>
      <c r="T810"/>
      <c r="U810"/>
      <c r="V810"/>
      <c r="W810">
        <v>18</v>
      </c>
    </row>
    <row r="811" spans="1:23">
      <c r="A811"/>
      <c r="B811" t="s">
        <v>52</v>
      </c>
      <c r="C811" t="s">
        <v>52</v>
      </c>
      <c r="D811" t="s">
        <v>33</v>
      </c>
      <c r="E811" t="s">
        <v>34</v>
      </c>
      <c r="F811" t="str">
        <f>"0001132"</f>
        <v>0001132</v>
      </c>
      <c r="G811">
        <v>1</v>
      </c>
      <c r="H811" t="str">
        <f>"00000000"</f>
        <v>00000000</v>
      </c>
      <c r="I811" t="s">
        <v>35</v>
      </c>
      <c r="J811"/>
      <c r="K811">
        <v>1.02</v>
      </c>
      <c r="L811">
        <v>0.0</v>
      </c>
      <c r="M811"/>
      <c r="N811"/>
      <c r="O811">
        <v>0.18</v>
      </c>
      <c r="P811">
        <v>0.0</v>
      </c>
      <c r="Q811">
        <v>1.2</v>
      </c>
      <c r="R811"/>
      <c r="S811"/>
      <c r="T811"/>
      <c r="U811"/>
      <c r="V811"/>
      <c r="W811">
        <v>18</v>
      </c>
    </row>
    <row r="812" spans="1:23">
      <c r="A812"/>
      <c r="B812" t="s">
        <v>52</v>
      </c>
      <c r="C812" t="s">
        <v>52</v>
      </c>
      <c r="D812" t="s">
        <v>33</v>
      </c>
      <c r="E812" t="s">
        <v>34</v>
      </c>
      <c r="F812" t="str">
        <f>"0001133"</f>
        <v>0001133</v>
      </c>
      <c r="G812">
        <v>1</v>
      </c>
      <c r="H812" t="str">
        <f>"00000000"</f>
        <v>00000000</v>
      </c>
      <c r="I812" t="s">
        <v>35</v>
      </c>
      <c r="J812"/>
      <c r="K812">
        <v>10.29</v>
      </c>
      <c r="L812">
        <v>0.0</v>
      </c>
      <c r="M812"/>
      <c r="N812"/>
      <c r="O812">
        <v>1.85</v>
      </c>
      <c r="P812">
        <v>0.0</v>
      </c>
      <c r="Q812">
        <v>12.14</v>
      </c>
      <c r="R812"/>
      <c r="S812"/>
      <c r="T812"/>
      <c r="U812"/>
      <c r="V812"/>
      <c r="W812">
        <v>18</v>
      </c>
    </row>
    <row r="813" spans="1:23">
      <c r="A813"/>
      <c r="B813" t="s">
        <v>52</v>
      </c>
      <c r="C813" t="s">
        <v>52</v>
      </c>
      <c r="D813" t="s">
        <v>33</v>
      </c>
      <c r="E813" t="s">
        <v>34</v>
      </c>
      <c r="F813" t="str">
        <f>"0001134"</f>
        <v>0001134</v>
      </c>
      <c r="G813">
        <v>1</v>
      </c>
      <c r="H813" t="str">
        <f>"00000000"</f>
        <v>00000000</v>
      </c>
      <c r="I813" t="s">
        <v>35</v>
      </c>
      <c r="J813"/>
      <c r="K813">
        <v>11.69</v>
      </c>
      <c r="L813">
        <v>0.0</v>
      </c>
      <c r="M813"/>
      <c r="N813"/>
      <c r="O813">
        <v>2.11</v>
      </c>
      <c r="P813">
        <v>0.0</v>
      </c>
      <c r="Q813">
        <v>13.8</v>
      </c>
      <c r="R813"/>
      <c r="S813"/>
      <c r="T813"/>
      <c r="U813"/>
      <c r="V813"/>
      <c r="W813">
        <v>18</v>
      </c>
    </row>
    <row r="814" spans="1:23">
      <c r="A814"/>
      <c r="B814" t="s">
        <v>52</v>
      </c>
      <c r="C814" t="s">
        <v>52</v>
      </c>
      <c r="D814" t="s">
        <v>33</v>
      </c>
      <c r="E814" t="s">
        <v>34</v>
      </c>
      <c r="F814" t="str">
        <f>"0001135"</f>
        <v>0001135</v>
      </c>
      <c r="G814">
        <v>1</v>
      </c>
      <c r="H814" t="str">
        <f>"00000000"</f>
        <v>00000000</v>
      </c>
      <c r="I814" t="s">
        <v>35</v>
      </c>
      <c r="J814"/>
      <c r="K814">
        <v>15.25</v>
      </c>
      <c r="L814">
        <v>0.0</v>
      </c>
      <c r="M814"/>
      <c r="N814"/>
      <c r="O814">
        <v>2.75</v>
      </c>
      <c r="P814">
        <v>0.0</v>
      </c>
      <c r="Q814">
        <v>18.0</v>
      </c>
      <c r="R814"/>
      <c r="S814"/>
      <c r="T814"/>
      <c r="U814"/>
      <c r="V814"/>
      <c r="W814">
        <v>18</v>
      </c>
    </row>
    <row r="815" spans="1:23">
      <c r="A815"/>
      <c r="B815" t="s">
        <v>52</v>
      </c>
      <c r="C815" t="s">
        <v>52</v>
      </c>
      <c r="D815" t="s">
        <v>33</v>
      </c>
      <c r="E815" t="s">
        <v>34</v>
      </c>
      <c r="F815" t="str">
        <f>"0001136"</f>
        <v>0001136</v>
      </c>
      <c r="G815">
        <v>1</v>
      </c>
      <c r="H815" t="str">
        <f>"00000000"</f>
        <v>00000000</v>
      </c>
      <c r="I815" t="s">
        <v>35</v>
      </c>
      <c r="J815"/>
      <c r="K815">
        <v>24.28</v>
      </c>
      <c r="L815">
        <v>0.0</v>
      </c>
      <c r="M815"/>
      <c r="N815"/>
      <c r="O815">
        <v>4.37</v>
      </c>
      <c r="P815">
        <v>0.0</v>
      </c>
      <c r="Q815">
        <v>28.66</v>
      </c>
      <c r="R815"/>
      <c r="S815"/>
      <c r="T815"/>
      <c r="U815"/>
      <c r="V815"/>
      <c r="W815">
        <v>18</v>
      </c>
    </row>
    <row r="816" spans="1:23">
      <c r="A816"/>
      <c r="B816" t="s">
        <v>52</v>
      </c>
      <c r="C816" t="s">
        <v>52</v>
      </c>
      <c r="D816" t="s">
        <v>33</v>
      </c>
      <c r="E816" t="s">
        <v>34</v>
      </c>
      <c r="F816" t="str">
        <f>"0001137"</f>
        <v>0001137</v>
      </c>
      <c r="G816">
        <v>1</v>
      </c>
      <c r="H816" t="str">
        <f>"00000000"</f>
        <v>00000000</v>
      </c>
      <c r="I816" t="s">
        <v>35</v>
      </c>
      <c r="J816"/>
      <c r="K816">
        <v>36.44</v>
      </c>
      <c r="L816">
        <v>0.0</v>
      </c>
      <c r="M816"/>
      <c r="N816"/>
      <c r="O816">
        <v>6.56</v>
      </c>
      <c r="P816">
        <v>0.0</v>
      </c>
      <c r="Q816">
        <v>43.0</v>
      </c>
      <c r="R816"/>
      <c r="S816"/>
      <c r="T816"/>
      <c r="U816"/>
      <c r="V816"/>
      <c r="W816">
        <v>18</v>
      </c>
    </row>
    <row r="817" spans="1:23">
      <c r="A817"/>
      <c r="B817" t="s">
        <v>52</v>
      </c>
      <c r="C817" t="s">
        <v>52</v>
      </c>
      <c r="D817" t="s">
        <v>33</v>
      </c>
      <c r="E817" t="s">
        <v>34</v>
      </c>
      <c r="F817" t="str">
        <f>"0001138"</f>
        <v>0001138</v>
      </c>
      <c r="G817">
        <v>1</v>
      </c>
      <c r="H817" t="str">
        <f>"00000000"</f>
        <v>00000000</v>
      </c>
      <c r="I817" t="s">
        <v>35</v>
      </c>
      <c r="J817"/>
      <c r="K817">
        <v>4.19</v>
      </c>
      <c r="L817">
        <v>0.0</v>
      </c>
      <c r="M817"/>
      <c r="N817"/>
      <c r="O817">
        <v>0.75</v>
      </c>
      <c r="P817">
        <v>0.0</v>
      </c>
      <c r="Q817">
        <v>4.94</v>
      </c>
      <c r="R817"/>
      <c r="S817"/>
      <c r="T817"/>
      <c r="U817"/>
      <c r="V817"/>
      <c r="W817">
        <v>18</v>
      </c>
    </row>
    <row r="818" spans="1:23">
      <c r="A818"/>
      <c r="B818" t="s">
        <v>52</v>
      </c>
      <c r="C818" t="s">
        <v>52</v>
      </c>
      <c r="D818" t="s">
        <v>33</v>
      </c>
      <c r="E818" t="s">
        <v>34</v>
      </c>
      <c r="F818" t="str">
        <f>"0001139"</f>
        <v>0001139</v>
      </c>
      <c r="G818">
        <v>1</v>
      </c>
      <c r="H818" t="str">
        <f>"00000000"</f>
        <v>00000000</v>
      </c>
      <c r="I818" t="s">
        <v>35</v>
      </c>
      <c r="J818"/>
      <c r="K818">
        <v>8.14</v>
      </c>
      <c r="L818">
        <v>0.0</v>
      </c>
      <c r="M818"/>
      <c r="N818"/>
      <c r="O818">
        <v>1.46</v>
      </c>
      <c r="P818">
        <v>0.2</v>
      </c>
      <c r="Q818">
        <v>9.8</v>
      </c>
      <c r="R818"/>
      <c r="S818"/>
      <c r="T818"/>
      <c r="U818"/>
      <c r="V818"/>
      <c r="W818">
        <v>18</v>
      </c>
    </row>
    <row r="819" spans="1:23">
      <c r="A819"/>
      <c r="B819" t="s">
        <v>52</v>
      </c>
      <c r="C819" t="s">
        <v>52</v>
      </c>
      <c r="D819" t="s">
        <v>33</v>
      </c>
      <c r="E819" t="s">
        <v>34</v>
      </c>
      <c r="F819" t="str">
        <f>"0001140"</f>
        <v>0001140</v>
      </c>
      <c r="G819">
        <v>1</v>
      </c>
      <c r="H819" t="str">
        <f>"00000000"</f>
        <v>00000000</v>
      </c>
      <c r="I819" t="s">
        <v>35</v>
      </c>
      <c r="J819"/>
      <c r="K819">
        <v>2.53</v>
      </c>
      <c r="L819">
        <v>0.0</v>
      </c>
      <c r="M819"/>
      <c r="N819"/>
      <c r="O819">
        <v>0.46</v>
      </c>
      <c r="P819">
        <v>0.0</v>
      </c>
      <c r="Q819">
        <v>2.99</v>
      </c>
      <c r="R819"/>
      <c r="S819"/>
      <c r="T819"/>
      <c r="U819"/>
      <c r="V819"/>
      <c r="W819">
        <v>18</v>
      </c>
    </row>
    <row r="820" spans="1:23">
      <c r="A820"/>
      <c r="B820" t="s">
        <v>52</v>
      </c>
      <c r="C820" t="s">
        <v>52</v>
      </c>
      <c r="D820" t="s">
        <v>33</v>
      </c>
      <c r="E820" t="s">
        <v>34</v>
      </c>
      <c r="F820" t="str">
        <f>"0001141"</f>
        <v>0001141</v>
      </c>
      <c r="G820">
        <v>1</v>
      </c>
      <c r="H820" t="str">
        <f>"00000000"</f>
        <v>00000000</v>
      </c>
      <c r="I820" t="s">
        <v>35</v>
      </c>
      <c r="J820"/>
      <c r="K820">
        <v>25.06</v>
      </c>
      <c r="L820">
        <v>0.0</v>
      </c>
      <c r="M820"/>
      <c r="N820"/>
      <c r="O820">
        <v>4.51</v>
      </c>
      <c r="P820">
        <v>0.2</v>
      </c>
      <c r="Q820">
        <v>29.77</v>
      </c>
      <c r="R820"/>
      <c r="S820"/>
      <c r="T820"/>
      <c r="U820"/>
      <c r="V820"/>
      <c r="W820">
        <v>18</v>
      </c>
    </row>
    <row r="821" spans="1:23">
      <c r="A821"/>
      <c r="B821" t="s">
        <v>52</v>
      </c>
      <c r="C821" t="s">
        <v>52</v>
      </c>
      <c r="D821" t="s">
        <v>33</v>
      </c>
      <c r="E821" t="s">
        <v>34</v>
      </c>
      <c r="F821" t="str">
        <f>"0001142"</f>
        <v>0001142</v>
      </c>
      <c r="G821">
        <v>1</v>
      </c>
      <c r="H821" t="str">
        <f>"00000000"</f>
        <v>00000000</v>
      </c>
      <c r="I821" t="s">
        <v>35</v>
      </c>
      <c r="J821"/>
      <c r="K821">
        <v>4.88</v>
      </c>
      <c r="L821">
        <v>0.0</v>
      </c>
      <c r="M821"/>
      <c r="N821"/>
      <c r="O821">
        <v>0.88</v>
      </c>
      <c r="P821">
        <v>0.0</v>
      </c>
      <c r="Q821">
        <v>5.75</v>
      </c>
      <c r="R821"/>
      <c r="S821"/>
      <c r="T821"/>
      <c r="U821"/>
      <c r="V821"/>
      <c r="W821">
        <v>18</v>
      </c>
    </row>
    <row r="822" spans="1:23">
      <c r="A822"/>
      <c r="B822" t="s">
        <v>52</v>
      </c>
      <c r="C822" t="s">
        <v>52</v>
      </c>
      <c r="D822" t="s">
        <v>33</v>
      </c>
      <c r="E822" t="s">
        <v>34</v>
      </c>
      <c r="F822" t="str">
        <f>"0001143"</f>
        <v>0001143</v>
      </c>
      <c r="G822">
        <v>1</v>
      </c>
      <c r="H822" t="str">
        <f>"00000000"</f>
        <v>00000000</v>
      </c>
      <c r="I822" t="s">
        <v>35</v>
      </c>
      <c r="J822"/>
      <c r="K822">
        <v>9.24</v>
      </c>
      <c r="L822">
        <v>0.0</v>
      </c>
      <c r="M822"/>
      <c r="N822"/>
      <c r="O822">
        <v>1.66</v>
      </c>
      <c r="P822">
        <v>0.2</v>
      </c>
      <c r="Q822">
        <v>11.1</v>
      </c>
      <c r="R822"/>
      <c r="S822"/>
      <c r="T822"/>
      <c r="U822"/>
      <c r="V822"/>
      <c r="W822">
        <v>18</v>
      </c>
    </row>
    <row r="823" spans="1:23">
      <c r="A823"/>
      <c r="B823" t="s">
        <v>52</v>
      </c>
      <c r="C823" t="s">
        <v>52</v>
      </c>
      <c r="D823" t="s">
        <v>33</v>
      </c>
      <c r="E823" t="s">
        <v>34</v>
      </c>
      <c r="F823" t="str">
        <f>"0001144"</f>
        <v>0001144</v>
      </c>
      <c r="G823">
        <v>1</v>
      </c>
      <c r="H823" t="str">
        <f>"00000000"</f>
        <v>00000000</v>
      </c>
      <c r="I823" t="s">
        <v>35</v>
      </c>
      <c r="J823"/>
      <c r="K823">
        <v>1.86</v>
      </c>
      <c r="L823">
        <v>0.0</v>
      </c>
      <c r="M823"/>
      <c r="N823"/>
      <c r="O823">
        <v>0.34</v>
      </c>
      <c r="P823">
        <v>0.0</v>
      </c>
      <c r="Q823">
        <v>2.2</v>
      </c>
      <c r="R823"/>
      <c r="S823"/>
      <c r="T823"/>
      <c r="U823"/>
      <c r="V823"/>
      <c r="W823">
        <v>18</v>
      </c>
    </row>
    <row r="824" spans="1:23">
      <c r="A824"/>
      <c r="B824" t="s">
        <v>52</v>
      </c>
      <c r="C824" t="s">
        <v>52</v>
      </c>
      <c r="D824" t="s">
        <v>36</v>
      </c>
      <c r="E824" t="s">
        <v>37</v>
      </c>
      <c r="F824" t="str">
        <f>"0000025"</f>
        <v>0000025</v>
      </c>
      <c r="G824">
        <v>6</v>
      </c>
      <c r="H824" t="str">
        <f>"20547236875"</f>
        <v>20547236875</v>
      </c>
      <c r="I824" t="s">
        <v>44</v>
      </c>
      <c r="J824"/>
      <c r="K824">
        <v>17.41</v>
      </c>
      <c r="L824">
        <v>0.0</v>
      </c>
      <c r="M824"/>
      <c r="N824"/>
      <c r="O824">
        <v>3.13</v>
      </c>
      <c r="P824">
        <v>0.0</v>
      </c>
      <c r="Q824">
        <v>20.54</v>
      </c>
      <c r="R824"/>
      <c r="S824"/>
      <c r="T824"/>
      <c r="U824"/>
      <c r="V824"/>
      <c r="W824">
        <v>18</v>
      </c>
    </row>
    <row r="825" spans="1:23">
      <c r="A825"/>
      <c r="B825" t="s">
        <v>52</v>
      </c>
      <c r="C825" t="s">
        <v>52</v>
      </c>
      <c r="D825" t="s">
        <v>33</v>
      </c>
      <c r="E825" t="s">
        <v>34</v>
      </c>
      <c r="F825" t="str">
        <f>"0001145"</f>
        <v>0001145</v>
      </c>
      <c r="G825">
        <v>1</v>
      </c>
      <c r="H825" t="str">
        <f>"00000000"</f>
        <v>00000000</v>
      </c>
      <c r="I825" t="s">
        <v>35</v>
      </c>
      <c r="J825"/>
      <c r="K825">
        <v>17.37</v>
      </c>
      <c r="L825">
        <v>0.0</v>
      </c>
      <c r="M825"/>
      <c r="N825"/>
      <c r="O825">
        <v>3.13</v>
      </c>
      <c r="P825">
        <v>0.0</v>
      </c>
      <c r="Q825">
        <v>20.5</v>
      </c>
      <c r="R825"/>
      <c r="S825"/>
      <c r="T825"/>
      <c r="U825"/>
      <c r="V825"/>
      <c r="W825">
        <v>18</v>
      </c>
    </row>
    <row r="826" spans="1:23">
      <c r="A826"/>
      <c r="B826" t="s">
        <v>52</v>
      </c>
      <c r="C826" t="s">
        <v>52</v>
      </c>
      <c r="D826" t="s">
        <v>33</v>
      </c>
      <c r="E826" t="s">
        <v>34</v>
      </c>
      <c r="F826" t="str">
        <f>"0001146"</f>
        <v>0001146</v>
      </c>
      <c r="G826">
        <v>1</v>
      </c>
      <c r="H826" t="str">
        <f>"00000000"</f>
        <v>00000000</v>
      </c>
      <c r="I826" t="s">
        <v>35</v>
      </c>
      <c r="J826"/>
      <c r="K826">
        <v>30.76</v>
      </c>
      <c r="L826">
        <v>0.0</v>
      </c>
      <c r="M826"/>
      <c r="N826"/>
      <c r="O826">
        <v>5.54</v>
      </c>
      <c r="P826">
        <v>0.0</v>
      </c>
      <c r="Q826">
        <v>36.3</v>
      </c>
      <c r="R826"/>
      <c r="S826"/>
      <c r="T826"/>
      <c r="U826"/>
      <c r="V826"/>
      <c r="W826">
        <v>18</v>
      </c>
    </row>
    <row r="827" spans="1:23">
      <c r="A827"/>
      <c r="B827" t="s">
        <v>52</v>
      </c>
      <c r="C827" t="s">
        <v>52</v>
      </c>
      <c r="D827" t="s">
        <v>33</v>
      </c>
      <c r="E827" t="s">
        <v>34</v>
      </c>
      <c r="F827" t="str">
        <f>"0001147"</f>
        <v>0001147</v>
      </c>
      <c r="G827">
        <v>1</v>
      </c>
      <c r="H827" t="str">
        <f>"00000000"</f>
        <v>00000000</v>
      </c>
      <c r="I827" t="s">
        <v>35</v>
      </c>
      <c r="J827"/>
      <c r="K827">
        <v>13.98</v>
      </c>
      <c r="L827">
        <v>0.0</v>
      </c>
      <c r="M827"/>
      <c r="N827"/>
      <c r="O827">
        <v>2.52</v>
      </c>
      <c r="P827">
        <v>0.0</v>
      </c>
      <c r="Q827">
        <v>16.5</v>
      </c>
      <c r="R827"/>
      <c r="S827"/>
      <c r="T827"/>
      <c r="U827"/>
      <c r="V827"/>
      <c r="W827">
        <v>18</v>
      </c>
    </row>
    <row r="828" spans="1:23">
      <c r="A828"/>
      <c r="B828" t="s">
        <v>52</v>
      </c>
      <c r="C828" t="s">
        <v>52</v>
      </c>
      <c r="D828" t="s">
        <v>33</v>
      </c>
      <c r="E828" t="s">
        <v>34</v>
      </c>
      <c r="F828" t="str">
        <f>"0001148"</f>
        <v>0001148</v>
      </c>
      <c r="G828">
        <v>1</v>
      </c>
      <c r="H828" t="str">
        <f>"00000000"</f>
        <v>00000000</v>
      </c>
      <c r="I828" t="s">
        <v>35</v>
      </c>
      <c r="J828"/>
      <c r="K828">
        <v>143.96</v>
      </c>
      <c r="L828">
        <v>0.0</v>
      </c>
      <c r="M828"/>
      <c r="N828"/>
      <c r="O828">
        <v>25.91</v>
      </c>
      <c r="P828">
        <v>0.8</v>
      </c>
      <c r="Q828">
        <v>170.68</v>
      </c>
      <c r="R828"/>
      <c r="S828"/>
      <c r="T828"/>
      <c r="U828"/>
      <c r="V828"/>
      <c r="W828">
        <v>18</v>
      </c>
    </row>
    <row r="829" spans="1:23">
      <c r="A829"/>
      <c r="B829" t="s">
        <v>52</v>
      </c>
      <c r="C829" t="s">
        <v>52</v>
      </c>
      <c r="D829" t="s">
        <v>33</v>
      </c>
      <c r="E829" t="s">
        <v>34</v>
      </c>
      <c r="F829" t="str">
        <f>"0001149"</f>
        <v>0001149</v>
      </c>
      <c r="G829">
        <v>1</v>
      </c>
      <c r="H829" t="str">
        <f>"00000000"</f>
        <v>00000000</v>
      </c>
      <c r="I829" t="s">
        <v>35</v>
      </c>
      <c r="J829"/>
      <c r="K829">
        <v>5.59</v>
      </c>
      <c r="L829">
        <v>0.0</v>
      </c>
      <c r="M829"/>
      <c r="N829"/>
      <c r="O829">
        <v>1.01</v>
      </c>
      <c r="P829">
        <v>0.0</v>
      </c>
      <c r="Q829">
        <v>6.6</v>
      </c>
      <c r="R829"/>
      <c r="S829"/>
      <c r="T829"/>
      <c r="U829"/>
      <c r="V829"/>
      <c r="W829">
        <v>18</v>
      </c>
    </row>
    <row r="830" spans="1:23">
      <c r="A830"/>
      <c r="B830" t="s">
        <v>52</v>
      </c>
      <c r="C830" t="s">
        <v>52</v>
      </c>
      <c r="D830" t="s">
        <v>33</v>
      </c>
      <c r="E830" t="s">
        <v>34</v>
      </c>
      <c r="F830" t="str">
        <f>"0001150"</f>
        <v>0001150</v>
      </c>
      <c r="G830">
        <v>1</v>
      </c>
      <c r="H830" t="str">
        <f>"00000000"</f>
        <v>00000000</v>
      </c>
      <c r="I830" t="s">
        <v>35</v>
      </c>
      <c r="J830"/>
      <c r="K830">
        <v>13.98</v>
      </c>
      <c r="L830">
        <v>0.0</v>
      </c>
      <c r="M830"/>
      <c r="N830"/>
      <c r="O830">
        <v>2.52</v>
      </c>
      <c r="P830">
        <v>0.0</v>
      </c>
      <c r="Q830">
        <v>16.5</v>
      </c>
      <c r="R830"/>
      <c r="S830"/>
      <c r="T830"/>
      <c r="U830"/>
      <c r="V830"/>
      <c r="W830">
        <v>18</v>
      </c>
    </row>
    <row r="831" spans="1:23">
      <c r="A831"/>
      <c r="B831" t="s">
        <v>52</v>
      </c>
      <c r="C831" t="s">
        <v>52</v>
      </c>
      <c r="D831" t="s">
        <v>33</v>
      </c>
      <c r="E831" t="s">
        <v>34</v>
      </c>
      <c r="F831" t="str">
        <f>"0001151"</f>
        <v>0001151</v>
      </c>
      <c r="G831">
        <v>1</v>
      </c>
      <c r="H831" t="str">
        <f>"00000000"</f>
        <v>00000000</v>
      </c>
      <c r="I831" t="s">
        <v>35</v>
      </c>
      <c r="J831"/>
      <c r="K831">
        <v>37.36</v>
      </c>
      <c r="L831">
        <v>0.0</v>
      </c>
      <c r="M831"/>
      <c r="N831"/>
      <c r="O831">
        <v>6.72</v>
      </c>
      <c r="P831">
        <v>0.0</v>
      </c>
      <c r="Q831">
        <v>44.08</v>
      </c>
      <c r="R831"/>
      <c r="S831"/>
      <c r="T831"/>
      <c r="U831"/>
      <c r="V831"/>
      <c r="W831">
        <v>18</v>
      </c>
    </row>
    <row r="832" spans="1:23">
      <c r="A832"/>
      <c r="B832" t="s">
        <v>52</v>
      </c>
      <c r="C832" t="s">
        <v>52</v>
      </c>
      <c r="D832" t="s">
        <v>33</v>
      </c>
      <c r="E832" t="s">
        <v>34</v>
      </c>
      <c r="F832" t="str">
        <f>"0001152"</f>
        <v>0001152</v>
      </c>
      <c r="G832">
        <v>1</v>
      </c>
      <c r="H832" t="str">
        <f>"00000000"</f>
        <v>00000000</v>
      </c>
      <c r="I832" t="s">
        <v>35</v>
      </c>
      <c r="J832"/>
      <c r="K832">
        <v>8.49</v>
      </c>
      <c r="L832">
        <v>0.0</v>
      </c>
      <c r="M832"/>
      <c r="N832"/>
      <c r="O832">
        <v>1.53</v>
      </c>
      <c r="P832">
        <v>0.2</v>
      </c>
      <c r="Q832">
        <v>10.22</v>
      </c>
      <c r="R832"/>
      <c r="S832"/>
      <c r="T832"/>
      <c r="U832"/>
      <c r="V832"/>
      <c r="W832">
        <v>18</v>
      </c>
    </row>
    <row r="833" spans="1:23">
      <c r="A833"/>
      <c r="B833" t="s">
        <v>52</v>
      </c>
      <c r="C833" t="s">
        <v>52</v>
      </c>
      <c r="D833" t="s">
        <v>33</v>
      </c>
      <c r="E833" t="s">
        <v>34</v>
      </c>
      <c r="F833" t="str">
        <f>"0001153"</f>
        <v>0001153</v>
      </c>
      <c r="G833">
        <v>1</v>
      </c>
      <c r="H833" t="str">
        <f>"00000000"</f>
        <v>00000000</v>
      </c>
      <c r="I833" t="s">
        <v>35</v>
      </c>
      <c r="J833"/>
      <c r="K833">
        <v>2.71</v>
      </c>
      <c r="L833">
        <v>0.0</v>
      </c>
      <c r="M833"/>
      <c r="N833"/>
      <c r="O833">
        <v>0.49</v>
      </c>
      <c r="P833">
        <v>0.0</v>
      </c>
      <c r="Q833">
        <v>3.2</v>
      </c>
      <c r="R833"/>
      <c r="S833"/>
      <c r="T833"/>
      <c r="U833"/>
      <c r="V833"/>
      <c r="W833">
        <v>18</v>
      </c>
    </row>
    <row r="834" spans="1:23">
      <c r="A834"/>
      <c r="B834" t="s">
        <v>52</v>
      </c>
      <c r="C834" t="s">
        <v>52</v>
      </c>
      <c r="D834" t="s">
        <v>33</v>
      </c>
      <c r="E834" t="s">
        <v>34</v>
      </c>
      <c r="F834" t="str">
        <f>"0001154"</f>
        <v>0001154</v>
      </c>
      <c r="G834">
        <v>1</v>
      </c>
      <c r="H834" t="str">
        <f>"00000000"</f>
        <v>00000000</v>
      </c>
      <c r="I834" t="s">
        <v>35</v>
      </c>
      <c r="J834"/>
      <c r="K834">
        <v>1.02</v>
      </c>
      <c r="L834">
        <v>0.0</v>
      </c>
      <c r="M834"/>
      <c r="N834"/>
      <c r="O834">
        <v>0.18</v>
      </c>
      <c r="P834">
        <v>0.0</v>
      </c>
      <c r="Q834">
        <v>1.2</v>
      </c>
      <c r="R834"/>
      <c r="S834"/>
      <c r="T834"/>
      <c r="U834"/>
      <c r="V834"/>
      <c r="W834">
        <v>18</v>
      </c>
    </row>
    <row r="835" spans="1:23">
      <c r="A835"/>
      <c r="B835" t="s">
        <v>52</v>
      </c>
      <c r="C835" t="s">
        <v>52</v>
      </c>
      <c r="D835" t="s">
        <v>33</v>
      </c>
      <c r="E835" t="s">
        <v>34</v>
      </c>
      <c r="F835" t="str">
        <f>"0001155"</f>
        <v>0001155</v>
      </c>
      <c r="G835">
        <v>1</v>
      </c>
      <c r="H835" t="str">
        <f>"00000000"</f>
        <v>00000000</v>
      </c>
      <c r="I835" t="s">
        <v>35</v>
      </c>
      <c r="J835"/>
      <c r="K835">
        <v>54.75</v>
      </c>
      <c r="L835">
        <v>0.0</v>
      </c>
      <c r="M835"/>
      <c r="N835"/>
      <c r="O835">
        <v>9.85</v>
      </c>
      <c r="P835">
        <v>0.4</v>
      </c>
      <c r="Q835">
        <v>65.0</v>
      </c>
      <c r="R835"/>
      <c r="S835"/>
      <c r="T835"/>
      <c r="U835"/>
      <c r="V835"/>
      <c r="W835">
        <v>18</v>
      </c>
    </row>
    <row r="836" spans="1:23">
      <c r="A836"/>
      <c r="B836" t="s">
        <v>52</v>
      </c>
      <c r="C836" t="s">
        <v>52</v>
      </c>
      <c r="D836" t="s">
        <v>33</v>
      </c>
      <c r="E836" t="s">
        <v>34</v>
      </c>
      <c r="F836" t="str">
        <f>"0001156"</f>
        <v>0001156</v>
      </c>
      <c r="G836">
        <v>1</v>
      </c>
      <c r="H836" t="str">
        <f>"00000000"</f>
        <v>00000000</v>
      </c>
      <c r="I836" t="s">
        <v>35</v>
      </c>
      <c r="J836"/>
      <c r="K836">
        <v>21.63</v>
      </c>
      <c r="L836">
        <v>0.0</v>
      </c>
      <c r="M836"/>
      <c r="N836"/>
      <c r="O836">
        <v>3.89</v>
      </c>
      <c r="P836">
        <v>0.0</v>
      </c>
      <c r="Q836">
        <v>25.52</v>
      </c>
      <c r="R836"/>
      <c r="S836"/>
      <c r="T836"/>
      <c r="U836"/>
      <c r="V836"/>
      <c r="W836">
        <v>18</v>
      </c>
    </row>
    <row r="837" spans="1:23">
      <c r="A837"/>
      <c r="B837" t="s">
        <v>52</v>
      </c>
      <c r="C837" t="s">
        <v>52</v>
      </c>
      <c r="D837" t="s">
        <v>33</v>
      </c>
      <c r="E837" t="s">
        <v>34</v>
      </c>
      <c r="F837" t="str">
        <f>"0001157"</f>
        <v>0001157</v>
      </c>
      <c r="G837">
        <v>1</v>
      </c>
      <c r="H837" t="str">
        <f>"00000000"</f>
        <v>00000000</v>
      </c>
      <c r="I837" t="s">
        <v>35</v>
      </c>
      <c r="J837"/>
      <c r="K837">
        <v>5.76</v>
      </c>
      <c r="L837">
        <v>0.0</v>
      </c>
      <c r="M837"/>
      <c r="N837"/>
      <c r="O837">
        <v>1.04</v>
      </c>
      <c r="P837">
        <v>0.0</v>
      </c>
      <c r="Q837">
        <v>6.79</v>
      </c>
      <c r="R837"/>
      <c r="S837"/>
      <c r="T837"/>
      <c r="U837"/>
      <c r="V837"/>
      <c r="W837">
        <v>18</v>
      </c>
    </row>
    <row r="838" spans="1:23">
      <c r="A838"/>
      <c r="B838" t="s">
        <v>52</v>
      </c>
      <c r="C838" t="s">
        <v>52</v>
      </c>
      <c r="D838" t="s">
        <v>33</v>
      </c>
      <c r="E838" t="s">
        <v>34</v>
      </c>
      <c r="F838" t="str">
        <f>"0001158"</f>
        <v>0001158</v>
      </c>
      <c r="G838">
        <v>1</v>
      </c>
      <c r="H838" t="str">
        <f>"00000000"</f>
        <v>00000000</v>
      </c>
      <c r="I838" t="s">
        <v>35</v>
      </c>
      <c r="J838"/>
      <c r="K838">
        <v>3.98</v>
      </c>
      <c r="L838">
        <v>0.0</v>
      </c>
      <c r="M838"/>
      <c r="N838"/>
      <c r="O838">
        <v>0.72</v>
      </c>
      <c r="P838">
        <v>0.2</v>
      </c>
      <c r="Q838">
        <v>4.9</v>
      </c>
      <c r="R838"/>
      <c r="S838"/>
      <c r="T838"/>
      <c r="U838"/>
      <c r="V838"/>
      <c r="W838">
        <v>18</v>
      </c>
    </row>
    <row r="839" spans="1:23">
      <c r="A839"/>
      <c r="B839" t="s">
        <v>52</v>
      </c>
      <c r="C839" t="s">
        <v>52</v>
      </c>
      <c r="D839" t="s">
        <v>33</v>
      </c>
      <c r="E839" t="s">
        <v>34</v>
      </c>
      <c r="F839" t="str">
        <f>"0001159"</f>
        <v>0001159</v>
      </c>
      <c r="G839">
        <v>1</v>
      </c>
      <c r="H839" t="str">
        <f>"00000000"</f>
        <v>00000000</v>
      </c>
      <c r="I839" t="s">
        <v>35</v>
      </c>
      <c r="J839"/>
      <c r="K839">
        <v>55.18</v>
      </c>
      <c r="L839">
        <v>0.0</v>
      </c>
      <c r="M839"/>
      <c r="N839"/>
      <c r="O839">
        <v>9.93</v>
      </c>
      <c r="P839">
        <v>0.0</v>
      </c>
      <c r="Q839">
        <v>65.11</v>
      </c>
      <c r="R839"/>
      <c r="S839"/>
      <c r="T839"/>
      <c r="U839"/>
      <c r="V839"/>
      <c r="W839">
        <v>18</v>
      </c>
    </row>
    <row r="840" spans="1:23">
      <c r="A840"/>
      <c r="B840" t="s">
        <v>52</v>
      </c>
      <c r="C840" t="s">
        <v>52</v>
      </c>
      <c r="D840" t="s">
        <v>33</v>
      </c>
      <c r="E840" t="s">
        <v>34</v>
      </c>
      <c r="F840" t="str">
        <f>"0001160"</f>
        <v>0001160</v>
      </c>
      <c r="G840">
        <v>1</v>
      </c>
      <c r="H840" t="str">
        <f>"00000000"</f>
        <v>00000000</v>
      </c>
      <c r="I840" t="s">
        <v>35</v>
      </c>
      <c r="J840"/>
      <c r="K840">
        <v>13.55</v>
      </c>
      <c r="L840">
        <v>0.0</v>
      </c>
      <c r="M840"/>
      <c r="N840"/>
      <c r="O840">
        <v>2.44</v>
      </c>
      <c r="P840">
        <v>0.2</v>
      </c>
      <c r="Q840">
        <v>16.18</v>
      </c>
      <c r="R840"/>
      <c r="S840"/>
      <c r="T840"/>
      <c r="U840"/>
      <c r="V840"/>
      <c r="W840">
        <v>18</v>
      </c>
    </row>
    <row r="841" spans="1:23">
      <c r="A841"/>
      <c r="B841" t="s">
        <v>52</v>
      </c>
      <c r="C841" t="s">
        <v>52</v>
      </c>
      <c r="D841" t="s">
        <v>33</v>
      </c>
      <c r="E841" t="s">
        <v>34</v>
      </c>
      <c r="F841" t="str">
        <f>"0001161"</f>
        <v>0001161</v>
      </c>
      <c r="G841">
        <v>1</v>
      </c>
      <c r="H841" t="str">
        <f>"00000000"</f>
        <v>00000000</v>
      </c>
      <c r="I841" t="s">
        <v>35</v>
      </c>
      <c r="J841"/>
      <c r="K841">
        <v>101.74</v>
      </c>
      <c r="L841">
        <v>0.0</v>
      </c>
      <c r="M841"/>
      <c r="N841"/>
      <c r="O841">
        <v>18.31</v>
      </c>
      <c r="P841">
        <v>0.4</v>
      </c>
      <c r="Q841">
        <v>120.45</v>
      </c>
      <c r="R841"/>
      <c r="S841"/>
      <c r="T841"/>
      <c r="U841"/>
      <c r="V841"/>
      <c r="W841">
        <v>18</v>
      </c>
    </row>
    <row r="842" spans="1:23">
      <c r="A842"/>
      <c r="B842" t="s">
        <v>52</v>
      </c>
      <c r="C842" t="s">
        <v>52</v>
      </c>
      <c r="D842" t="s">
        <v>33</v>
      </c>
      <c r="E842" t="s">
        <v>34</v>
      </c>
      <c r="F842" t="str">
        <f>"0001162"</f>
        <v>0001162</v>
      </c>
      <c r="G842">
        <v>1</v>
      </c>
      <c r="H842" t="str">
        <f>"00000000"</f>
        <v>00000000</v>
      </c>
      <c r="I842" t="s">
        <v>35</v>
      </c>
      <c r="J842"/>
      <c r="K842">
        <v>48.31</v>
      </c>
      <c r="L842">
        <v>0.0</v>
      </c>
      <c r="M842"/>
      <c r="N842"/>
      <c r="O842">
        <v>8.7</v>
      </c>
      <c r="P842">
        <v>0.2</v>
      </c>
      <c r="Q842">
        <v>57.21</v>
      </c>
      <c r="R842"/>
      <c r="S842"/>
      <c r="T842"/>
      <c r="U842"/>
      <c r="V842"/>
      <c r="W842">
        <v>18</v>
      </c>
    </row>
    <row r="843" spans="1:23">
      <c r="A843"/>
      <c r="B843" t="s">
        <v>52</v>
      </c>
      <c r="C843" t="s">
        <v>52</v>
      </c>
      <c r="D843" t="s">
        <v>33</v>
      </c>
      <c r="E843" t="s">
        <v>34</v>
      </c>
      <c r="F843" t="str">
        <f>"0001163"</f>
        <v>0001163</v>
      </c>
      <c r="G843">
        <v>1</v>
      </c>
      <c r="H843" t="str">
        <f>"00000000"</f>
        <v>00000000</v>
      </c>
      <c r="I843" t="s">
        <v>35</v>
      </c>
      <c r="J843"/>
      <c r="K843">
        <v>9.53</v>
      </c>
      <c r="L843">
        <v>0.0</v>
      </c>
      <c r="M843"/>
      <c r="N843"/>
      <c r="O843">
        <v>1.71</v>
      </c>
      <c r="P843">
        <v>0.0</v>
      </c>
      <c r="Q843">
        <v>11.24</v>
      </c>
      <c r="R843"/>
      <c r="S843"/>
      <c r="T843"/>
      <c r="U843"/>
      <c r="V843"/>
      <c r="W843">
        <v>18</v>
      </c>
    </row>
    <row r="844" spans="1:23">
      <c r="A844"/>
      <c r="B844" t="s">
        <v>52</v>
      </c>
      <c r="C844" t="s">
        <v>52</v>
      </c>
      <c r="D844" t="s">
        <v>33</v>
      </c>
      <c r="E844" t="s">
        <v>34</v>
      </c>
      <c r="F844" t="str">
        <f>"0001164"</f>
        <v>0001164</v>
      </c>
      <c r="G844">
        <v>1</v>
      </c>
      <c r="H844" t="str">
        <f>"00000000"</f>
        <v>00000000</v>
      </c>
      <c r="I844" t="s">
        <v>35</v>
      </c>
      <c r="J844"/>
      <c r="K844">
        <v>0.08</v>
      </c>
      <c r="L844">
        <v>0.0</v>
      </c>
      <c r="M844"/>
      <c r="N844"/>
      <c r="O844">
        <v>0.02</v>
      </c>
      <c r="P844">
        <v>0.2</v>
      </c>
      <c r="Q844">
        <v>0.3</v>
      </c>
      <c r="R844"/>
      <c r="S844"/>
      <c r="T844"/>
      <c r="U844"/>
      <c r="V844"/>
      <c r="W844">
        <v>18</v>
      </c>
    </row>
    <row r="845" spans="1:23">
      <c r="A845"/>
      <c r="B845" t="s">
        <v>52</v>
      </c>
      <c r="C845" t="s">
        <v>52</v>
      </c>
      <c r="D845" t="s">
        <v>33</v>
      </c>
      <c r="E845" t="s">
        <v>34</v>
      </c>
      <c r="F845" t="str">
        <f>"0001165"</f>
        <v>0001165</v>
      </c>
      <c r="G845">
        <v>1</v>
      </c>
      <c r="H845" t="str">
        <f>"00000000"</f>
        <v>00000000</v>
      </c>
      <c r="I845" t="s">
        <v>35</v>
      </c>
      <c r="J845"/>
      <c r="K845">
        <v>5.54</v>
      </c>
      <c r="L845">
        <v>0.0</v>
      </c>
      <c r="M845"/>
      <c r="N845"/>
      <c r="O845">
        <v>1.0</v>
      </c>
      <c r="P845">
        <v>0.0</v>
      </c>
      <c r="Q845">
        <v>6.54</v>
      </c>
      <c r="R845"/>
      <c r="S845"/>
      <c r="T845"/>
      <c r="U845"/>
      <c r="V845"/>
      <c r="W845">
        <v>18</v>
      </c>
    </row>
    <row r="846" spans="1:23">
      <c r="A846"/>
      <c r="B846" t="s">
        <v>52</v>
      </c>
      <c r="C846" t="s">
        <v>52</v>
      </c>
      <c r="D846" t="s">
        <v>33</v>
      </c>
      <c r="E846" t="s">
        <v>34</v>
      </c>
      <c r="F846" t="str">
        <f>"0001166"</f>
        <v>0001166</v>
      </c>
      <c r="G846">
        <v>1</v>
      </c>
      <c r="H846" t="str">
        <f>"00000000"</f>
        <v>00000000</v>
      </c>
      <c r="I846" t="s">
        <v>35</v>
      </c>
      <c r="J846"/>
      <c r="K846">
        <v>4.15</v>
      </c>
      <c r="L846">
        <v>0.0</v>
      </c>
      <c r="M846"/>
      <c r="N846"/>
      <c r="O846">
        <v>0.75</v>
      </c>
      <c r="P846">
        <v>0.0</v>
      </c>
      <c r="Q846">
        <v>4.9</v>
      </c>
      <c r="R846"/>
      <c r="S846"/>
      <c r="T846"/>
      <c r="U846"/>
      <c r="V846"/>
      <c r="W846">
        <v>18</v>
      </c>
    </row>
    <row r="847" spans="1:23">
      <c r="A847"/>
      <c r="B847" t="s">
        <v>52</v>
      </c>
      <c r="C847" t="s">
        <v>52</v>
      </c>
      <c r="D847" t="s">
        <v>33</v>
      </c>
      <c r="E847" t="s">
        <v>34</v>
      </c>
      <c r="F847" t="str">
        <f>"0001167"</f>
        <v>0001167</v>
      </c>
      <c r="G847">
        <v>1</v>
      </c>
      <c r="H847" t="str">
        <f>"00000000"</f>
        <v>00000000</v>
      </c>
      <c r="I847" t="s">
        <v>35</v>
      </c>
      <c r="J847"/>
      <c r="K847">
        <v>11.45</v>
      </c>
      <c r="L847">
        <v>0.0</v>
      </c>
      <c r="M847"/>
      <c r="N847"/>
      <c r="O847">
        <v>2.06</v>
      </c>
      <c r="P847">
        <v>0.0</v>
      </c>
      <c r="Q847">
        <v>13.51</v>
      </c>
      <c r="R847"/>
      <c r="S847"/>
      <c r="T847"/>
      <c r="U847"/>
      <c r="V847"/>
      <c r="W847">
        <v>18</v>
      </c>
    </row>
    <row r="848" spans="1:23">
      <c r="A848"/>
      <c r="B848" t="s">
        <v>52</v>
      </c>
      <c r="C848" t="s">
        <v>52</v>
      </c>
      <c r="D848" t="s">
        <v>33</v>
      </c>
      <c r="E848" t="s">
        <v>34</v>
      </c>
      <c r="F848" t="str">
        <f>"0001168"</f>
        <v>0001168</v>
      </c>
      <c r="G848">
        <v>1</v>
      </c>
      <c r="H848" t="str">
        <f>"00000000"</f>
        <v>00000000</v>
      </c>
      <c r="I848" t="s">
        <v>35</v>
      </c>
      <c r="J848"/>
      <c r="K848">
        <v>55.92</v>
      </c>
      <c r="L848">
        <v>0.0</v>
      </c>
      <c r="M848"/>
      <c r="N848"/>
      <c r="O848">
        <v>10.07</v>
      </c>
      <c r="P848">
        <v>0.0</v>
      </c>
      <c r="Q848">
        <v>65.99</v>
      </c>
      <c r="R848"/>
      <c r="S848"/>
      <c r="T848"/>
      <c r="U848"/>
      <c r="V848"/>
      <c r="W848">
        <v>18</v>
      </c>
    </row>
    <row r="849" spans="1:23">
      <c r="A849"/>
      <c r="B849" t="s">
        <v>52</v>
      </c>
      <c r="C849" t="s">
        <v>52</v>
      </c>
      <c r="D849" t="s">
        <v>33</v>
      </c>
      <c r="E849" t="s">
        <v>34</v>
      </c>
      <c r="F849" t="str">
        <f>"0001169"</f>
        <v>0001169</v>
      </c>
      <c r="G849">
        <v>1</v>
      </c>
      <c r="H849" t="str">
        <f>"00000000"</f>
        <v>00000000</v>
      </c>
      <c r="I849" t="s">
        <v>35</v>
      </c>
      <c r="J849"/>
      <c r="K849">
        <v>4.92</v>
      </c>
      <c r="L849">
        <v>0.0</v>
      </c>
      <c r="M849"/>
      <c r="N849"/>
      <c r="O849">
        <v>0.88</v>
      </c>
      <c r="P849">
        <v>0.0</v>
      </c>
      <c r="Q849">
        <v>5.8</v>
      </c>
      <c r="R849"/>
      <c r="S849"/>
      <c r="T849"/>
      <c r="U849"/>
      <c r="V849"/>
      <c r="W849">
        <v>18</v>
      </c>
    </row>
    <row r="850" spans="1:23">
      <c r="A850"/>
      <c r="B850" t="s">
        <v>52</v>
      </c>
      <c r="C850" t="s">
        <v>52</v>
      </c>
      <c r="D850" t="s">
        <v>33</v>
      </c>
      <c r="E850" t="s">
        <v>34</v>
      </c>
      <c r="F850" t="str">
        <f>"0001170"</f>
        <v>0001170</v>
      </c>
      <c r="G850">
        <v>1</v>
      </c>
      <c r="H850" t="str">
        <f>"00000000"</f>
        <v>00000000</v>
      </c>
      <c r="I850" t="s">
        <v>35</v>
      </c>
      <c r="J850"/>
      <c r="K850">
        <v>14.07</v>
      </c>
      <c r="L850">
        <v>0.0</v>
      </c>
      <c r="M850"/>
      <c r="N850"/>
      <c r="O850">
        <v>2.53</v>
      </c>
      <c r="P850">
        <v>0.2</v>
      </c>
      <c r="Q850">
        <v>16.8</v>
      </c>
      <c r="R850"/>
      <c r="S850"/>
      <c r="T850"/>
      <c r="U850"/>
      <c r="V850"/>
      <c r="W850">
        <v>18</v>
      </c>
    </row>
    <row r="851" spans="1:23">
      <c r="A851"/>
      <c r="B851" t="s">
        <v>52</v>
      </c>
      <c r="C851" t="s">
        <v>52</v>
      </c>
      <c r="D851" t="s">
        <v>33</v>
      </c>
      <c r="E851" t="s">
        <v>34</v>
      </c>
      <c r="F851" t="str">
        <f>"0001171"</f>
        <v>0001171</v>
      </c>
      <c r="G851">
        <v>1</v>
      </c>
      <c r="H851" t="str">
        <f>"00000000"</f>
        <v>00000000</v>
      </c>
      <c r="I851" t="s">
        <v>35</v>
      </c>
      <c r="J851"/>
      <c r="K851">
        <v>7.01</v>
      </c>
      <c r="L851">
        <v>0.0</v>
      </c>
      <c r="M851"/>
      <c r="N851"/>
      <c r="O851">
        <v>1.26</v>
      </c>
      <c r="P851">
        <v>0.0</v>
      </c>
      <c r="Q851">
        <v>8.28</v>
      </c>
      <c r="R851"/>
      <c r="S851"/>
      <c r="T851"/>
      <c r="U851"/>
      <c r="V851"/>
      <c r="W851">
        <v>18</v>
      </c>
    </row>
    <row r="852" spans="1:23">
      <c r="A852"/>
      <c r="B852" t="s">
        <v>52</v>
      </c>
      <c r="C852" t="s">
        <v>52</v>
      </c>
      <c r="D852" t="s">
        <v>33</v>
      </c>
      <c r="E852" t="s">
        <v>34</v>
      </c>
      <c r="F852" t="str">
        <f>"0001172"</f>
        <v>0001172</v>
      </c>
      <c r="G852">
        <v>1</v>
      </c>
      <c r="H852" t="str">
        <f>"00000000"</f>
        <v>00000000</v>
      </c>
      <c r="I852" t="s">
        <v>35</v>
      </c>
      <c r="J852"/>
      <c r="K852">
        <v>12.67</v>
      </c>
      <c r="L852">
        <v>0.0</v>
      </c>
      <c r="M852"/>
      <c r="N852"/>
      <c r="O852">
        <v>2.28</v>
      </c>
      <c r="P852">
        <v>0.2</v>
      </c>
      <c r="Q852">
        <v>15.15</v>
      </c>
      <c r="R852"/>
      <c r="S852"/>
      <c r="T852"/>
      <c r="U852"/>
      <c r="V852"/>
      <c r="W852">
        <v>18</v>
      </c>
    </row>
    <row r="853" spans="1:23">
      <c r="A853"/>
      <c r="B853" t="s">
        <v>52</v>
      </c>
      <c r="C853" t="s">
        <v>52</v>
      </c>
      <c r="D853" t="s">
        <v>36</v>
      </c>
      <c r="E853" t="s">
        <v>37</v>
      </c>
      <c r="F853" t="str">
        <f>"0000026"</f>
        <v>0000026</v>
      </c>
      <c r="G853">
        <v>6</v>
      </c>
      <c r="H853" t="str">
        <f>"20488045785"</f>
        <v>20488045785</v>
      </c>
      <c r="I853" t="s">
        <v>54</v>
      </c>
      <c r="J853"/>
      <c r="K853">
        <v>65.87</v>
      </c>
      <c r="L853">
        <v>0.0</v>
      </c>
      <c r="M853"/>
      <c r="N853"/>
      <c r="O853">
        <v>11.86</v>
      </c>
      <c r="P853">
        <v>0.0</v>
      </c>
      <c r="Q853">
        <v>77.73</v>
      </c>
      <c r="R853"/>
      <c r="S853"/>
      <c r="T853"/>
      <c r="U853"/>
      <c r="V853"/>
      <c r="W853">
        <v>18</v>
      </c>
    </row>
    <row r="854" spans="1:23">
      <c r="A854"/>
      <c r="B854" t="s">
        <v>52</v>
      </c>
      <c r="C854" t="s">
        <v>52</v>
      </c>
      <c r="D854" t="s">
        <v>33</v>
      </c>
      <c r="E854" t="s">
        <v>34</v>
      </c>
      <c r="F854" t="str">
        <f>"0001173"</f>
        <v>0001173</v>
      </c>
      <c r="G854">
        <v>1</v>
      </c>
      <c r="H854" t="str">
        <f>"00000000"</f>
        <v>00000000</v>
      </c>
      <c r="I854" t="s">
        <v>35</v>
      </c>
      <c r="J854"/>
      <c r="K854">
        <v>34.44</v>
      </c>
      <c r="L854">
        <v>0.0</v>
      </c>
      <c r="M854"/>
      <c r="N854"/>
      <c r="O854">
        <v>6.2</v>
      </c>
      <c r="P854">
        <v>0.2</v>
      </c>
      <c r="Q854">
        <v>40.84</v>
      </c>
      <c r="R854"/>
      <c r="S854"/>
      <c r="T854"/>
      <c r="U854"/>
      <c r="V854"/>
      <c r="W854">
        <v>18</v>
      </c>
    </row>
    <row r="855" spans="1:23">
      <c r="A855"/>
      <c r="B855" t="s">
        <v>52</v>
      </c>
      <c r="C855" t="s">
        <v>52</v>
      </c>
      <c r="D855" t="s">
        <v>33</v>
      </c>
      <c r="E855" t="s">
        <v>34</v>
      </c>
      <c r="F855" t="str">
        <f>"0001174"</f>
        <v>0001174</v>
      </c>
      <c r="G855">
        <v>1</v>
      </c>
      <c r="H855" t="str">
        <f>"00000000"</f>
        <v>00000000</v>
      </c>
      <c r="I855" t="s">
        <v>35</v>
      </c>
      <c r="J855"/>
      <c r="K855">
        <v>7.2</v>
      </c>
      <c r="L855">
        <v>0.0</v>
      </c>
      <c r="M855"/>
      <c r="N855"/>
      <c r="O855">
        <v>1.3</v>
      </c>
      <c r="P855">
        <v>0.0</v>
      </c>
      <c r="Q855">
        <v>8.5</v>
      </c>
      <c r="R855"/>
      <c r="S855"/>
      <c r="T855"/>
      <c r="U855"/>
      <c r="V855"/>
      <c r="W855">
        <v>18</v>
      </c>
    </row>
    <row r="856" spans="1:23">
      <c r="A856"/>
      <c r="B856" t="s">
        <v>52</v>
      </c>
      <c r="C856" t="s">
        <v>52</v>
      </c>
      <c r="D856" t="s">
        <v>33</v>
      </c>
      <c r="E856" t="s">
        <v>34</v>
      </c>
      <c r="F856" t="str">
        <f>"0001175"</f>
        <v>0001175</v>
      </c>
      <c r="G856">
        <v>1</v>
      </c>
      <c r="H856" t="str">
        <f>"00000000"</f>
        <v>00000000</v>
      </c>
      <c r="I856" t="s">
        <v>35</v>
      </c>
      <c r="J856"/>
      <c r="K856">
        <v>44.02</v>
      </c>
      <c r="L856">
        <v>0.0</v>
      </c>
      <c r="M856"/>
      <c r="N856"/>
      <c r="O856">
        <v>7.92</v>
      </c>
      <c r="P856">
        <v>0.0</v>
      </c>
      <c r="Q856">
        <v>51.94</v>
      </c>
      <c r="R856"/>
      <c r="S856"/>
      <c r="T856"/>
      <c r="U856"/>
      <c r="V856"/>
      <c r="W856">
        <v>18</v>
      </c>
    </row>
    <row r="857" spans="1:23">
      <c r="A857"/>
      <c r="B857" t="s">
        <v>52</v>
      </c>
      <c r="C857" t="s">
        <v>52</v>
      </c>
      <c r="D857" t="s">
        <v>33</v>
      </c>
      <c r="E857" t="s">
        <v>34</v>
      </c>
      <c r="F857" t="str">
        <f>"0001176"</f>
        <v>0001176</v>
      </c>
      <c r="G857">
        <v>1</v>
      </c>
      <c r="H857" t="str">
        <f>"00000000"</f>
        <v>00000000</v>
      </c>
      <c r="I857" t="s">
        <v>35</v>
      </c>
      <c r="J857"/>
      <c r="K857">
        <v>0.08</v>
      </c>
      <c r="L857">
        <v>0.0</v>
      </c>
      <c r="M857"/>
      <c r="N857"/>
      <c r="O857">
        <v>0.02</v>
      </c>
      <c r="P857">
        <v>0.2</v>
      </c>
      <c r="Q857">
        <v>0.3</v>
      </c>
      <c r="R857"/>
      <c r="S857"/>
      <c r="T857"/>
      <c r="U857"/>
      <c r="V857"/>
      <c r="W857">
        <v>18</v>
      </c>
    </row>
    <row r="858" spans="1:23">
      <c r="A858"/>
      <c r="B858" t="s">
        <v>52</v>
      </c>
      <c r="C858" t="s">
        <v>52</v>
      </c>
      <c r="D858" t="s">
        <v>33</v>
      </c>
      <c r="E858" t="s">
        <v>34</v>
      </c>
      <c r="F858" t="str">
        <f>"0001177"</f>
        <v>0001177</v>
      </c>
      <c r="G858">
        <v>1</v>
      </c>
      <c r="H858" t="str">
        <f>"00000000"</f>
        <v>00000000</v>
      </c>
      <c r="I858" t="s">
        <v>35</v>
      </c>
      <c r="J858"/>
      <c r="K858">
        <v>1.86</v>
      </c>
      <c r="L858">
        <v>0.0</v>
      </c>
      <c r="M858"/>
      <c r="N858"/>
      <c r="O858">
        <v>0.34</v>
      </c>
      <c r="P858">
        <v>0.0</v>
      </c>
      <c r="Q858">
        <v>2.2</v>
      </c>
      <c r="R858"/>
      <c r="S858"/>
      <c r="T858"/>
      <c r="U858"/>
      <c r="V858"/>
      <c r="W858">
        <v>18</v>
      </c>
    </row>
    <row r="859" spans="1:23">
      <c r="A859"/>
      <c r="B859" t="s">
        <v>52</v>
      </c>
      <c r="C859" t="s">
        <v>52</v>
      </c>
      <c r="D859" t="s">
        <v>33</v>
      </c>
      <c r="E859" t="s">
        <v>34</v>
      </c>
      <c r="F859" t="str">
        <f>"0001178"</f>
        <v>0001178</v>
      </c>
      <c r="G859">
        <v>1</v>
      </c>
      <c r="H859" t="str">
        <f>"00000000"</f>
        <v>00000000</v>
      </c>
      <c r="I859" t="s">
        <v>35</v>
      </c>
      <c r="J859"/>
      <c r="K859">
        <v>11.08</v>
      </c>
      <c r="L859">
        <v>0.0</v>
      </c>
      <c r="M859"/>
      <c r="N859"/>
      <c r="O859">
        <v>2.0</v>
      </c>
      <c r="P859">
        <v>0.0</v>
      </c>
      <c r="Q859">
        <v>13.08</v>
      </c>
      <c r="R859"/>
      <c r="S859"/>
      <c r="T859"/>
      <c r="U859"/>
      <c r="V859"/>
      <c r="W859">
        <v>18</v>
      </c>
    </row>
    <row r="860" spans="1:23">
      <c r="A860"/>
      <c r="B860" t="s">
        <v>52</v>
      </c>
      <c r="C860" t="s">
        <v>52</v>
      </c>
      <c r="D860" t="s">
        <v>33</v>
      </c>
      <c r="E860" t="s">
        <v>34</v>
      </c>
      <c r="F860" t="str">
        <f>"0001179"</f>
        <v>0001179</v>
      </c>
      <c r="G860">
        <v>1</v>
      </c>
      <c r="H860" t="str">
        <f>"00000000"</f>
        <v>00000000</v>
      </c>
      <c r="I860" t="s">
        <v>35</v>
      </c>
      <c r="J860"/>
      <c r="K860">
        <v>5.51</v>
      </c>
      <c r="L860">
        <v>0.0</v>
      </c>
      <c r="M860"/>
      <c r="N860"/>
      <c r="O860">
        <v>0.99</v>
      </c>
      <c r="P860">
        <v>0.0</v>
      </c>
      <c r="Q860">
        <v>6.5</v>
      </c>
      <c r="R860"/>
      <c r="S860"/>
      <c r="T860"/>
      <c r="U860"/>
      <c r="V860"/>
      <c r="W860">
        <v>18</v>
      </c>
    </row>
    <row r="861" spans="1:23">
      <c r="A861"/>
      <c r="B861" t="s">
        <v>52</v>
      </c>
      <c r="C861" t="s">
        <v>52</v>
      </c>
      <c r="D861" t="s">
        <v>33</v>
      </c>
      <c r="E861" t="s">
        <v>34</v>
      </c>
      <c r="F861" t="str">
        <f>"0001180"</f>
        <v>0001180</v>
      </c>
      <c r="G861">
        <v>1</v>
      </c>
      <c r="H861" t="str">
        <f>"00000000"</f>
        <v>00000000</v>
      </c>
      <c r="I861" t="s">
        <v>35</v>
      </c>
      <c r="J861"/>
      <c r="K861">
        <v>4.49</v>
      </c>
      <c r="L861">
        <v>0.0</v>
      </c>
      <c r="M861"/>
      <c r="N861"/>
      <c r="O861">
        <v>0.81</v>
      </c>
      <c r="P861">
        <v>0.0</v>
      </c>
      <c r="Q861">
        <v>5.3</v>
      </c>
      <c r="R861"/>
      <c r="S861"/>
      <c r="T861"/>
      <c r="U861"/>
      <c r="V861"/>
      <c r="W861">
        <v>18</v>
      </c>
    </row>
    <row r="862" spans="1:23">
      <c r="A862"/>
      <c r="B862" t="s">
        <v>52</v>
      </c>
      <c r="C862" t="s">
        <v>52</v>
      </c>
      <c r="D862" t="s">
        <v>33</v>
      </c>
      <c r="E862" t="s">
        <v>34</v>
      </c>
      <c r="F862" t="str">
        <f>"0001181"</f>
        <v>0001181</v>
      </c>
      <c r="G862">
        <v>1</v>
      </c>
      <c r="H862" t="str">
        <f>"00000000"</f>
        <v>00000000</v>
      </c>
      <c r="I862" t="s">
        <v>35</v>
      </c>
      <c r="J862"/>
      <c r="K862">
        <v>4.66</v>
      </c>
      <c r="L862">
        <v>0.0</v>
      </c>
      <c r="M862"/>
      <c r="N862"/>
      <c r="O862">
        <v>0.84</v>
      </c>
      <c r="P862">
        <v>0.0</v>
      </c>
      <c r="Q862">
        <v>5.5</v>
      </c>
      <c r="R862"/>
      <c r="S862"/>
      <c r="T862"/>
      <c r="U862"/>
      <c r="V862"/>
      <c r="W862">
        <v>18</v>
      </c>
    </row>
    <row r="863" spans="1:23">
      <c r="A863"/>
      <c r="B863" t="s">
        <v>52</v>
      </c>
      <c r="C863" t="s">
        <v>52</v>
      </c>
      <c r="D863" t="s">
        <v>33</v>
      </c>
      <c r="E863" t="s">
        <v>34</v>
      </c>
      <c r="F863" t="str">
        <f>"0001182"</f>
        <v>0001182</v>
      </c>
      <c r="G863">
        <v>1</v>
      </c>
      <c r="H863" t="str">
        <f>"00000000"</f>
        <v>00000000</v>
      </c>
      <c r="I863" t="s">
        <v>35</v>
      </c>
      <c r="J863"/>
      <c r="K863">
        <v>12.87</v>
      </c>
      <c r="L863">
        <v>0.0</v>
      </c>
      <c r="M863"/>
      <c r="N863"/>
      <c r="O863">
        <v>2.32</v>
      </c>
      <c r="P863">
        <v>0.2</v>
      </c>
      <c r="Q863">
        <v>15.39</v>
      </c>
      <c r="R863"/>
      <c r="S863"/>
      <c r="T863"/>
      <c r="U863"/>
      <c r="V863"/>
      <c r="W863">
        <v>18</v>
      </c>
    </row>
    <row r="864" spans="1:23">
      <c r="A864"/>
      <c r="B864" t="s">
        <v>52</v>
      </c>
      <c r="C864" t="s">
        <v>52</v>
      </c>
      <c r="D864" t="s">
        <v>33</v>
      </c>
      <c r="E864" t="s">
        <v>34</v>
      </c>
      <c r="F864" t="str">
        <f>"0001183"</f>
        <v>0001183</v>
      </c>
      <c r="G864">
        <v>1</v>
      </c>
      <c r="H864" t="str">
        <f>"00000000"</f>
        <v>00000000</v>
      </c>
      <c r="I864" t="s">
        <v>35</v>
      </c>
      <c r="J864"/>
      <c r="K864">
        <v>8.05</v>
      </c>
      <c r="L864">
        <v>0.0</v>
      </c>
      <c r="M864"/>
      <c r="N864"/>
      <c r="O864">
        <v>1.45</v>
      </c>
      <c r="P864">
        <v>0.0</v>
      </c>
      <c r="Q864">
        <v>9.5</v>
      </c>
      <c r="R864"/>
      <c r="S864"/>
      <c r="T864"/>
      <c r="U864"/>
      <c r="V864"/>
      <c r="W864">
        <v>18</v>
      </c>
    </row>
    <row r="865" spans="1:23">
      <c r="A865"/>
      <c r="B865" t="s">
        <v>52</v>
      </c>
      <c r="C865" t="s">
        <v>52</v>
      </c>
      <c r="D865" t="s">
        <v>33</v>
      </c>
      <c r="E865" t="s">
        <v>34</v>
      </c>
      <c r="F865" t="str">
        <f>"0001184"</f>
        <v>0001184</v>
      </c>
      <c r="G865">
        <v>1</v>
      </c>
      <c r="H865" t="str">
        <f>"00000000"</f>
        <v>00000000</v>
      </c>
      <c r="I865" t="s">
        <v>35</v>
      </c>
      <c r="J865"/>
      <c r="K865">
        <v>10.42</v>
      </c>
      <c r="L865">
        <v>0.0</v>
      </c>
      <c r="M865"/>
      <c r="N865"/>
      <c r="O865">
        <v>1.88</v>
      </c>
      <c r="P865">
        <v>0.2</v>
      </c>
      <c r="Q865">
        <v>12.5</v>
      </c>
      <c r="R865"/>
      <c r="S865"/>
      <c r="T865"/>
      <c r="U865"/>
      <c r="V865"/>
      <c r="W865">
        <v>18</v>
      </c>
    </row>
    <row r="866" spans="1:23">
      <c r="A866"/>
      <c r="B866" t="s">
        <v>52</v>
      </c>
      <c r="C866" t="s">
        <v>52</v>
      </c>
      <c r="D866" t="s">
        <v>33</v>
      </c>
      <c r="E866" t="s">
        <v>34</v>
      </c>
      <c r="F866" t="str">
        <f>"0001185"</f>
        <v>0001185</v>
      </c>
      <c r="G866">
        <v>1</v>
      </c>
      <c r="H866" t="str">
        <f>"00000000"</f>
        <v>00000000</v>
      </c>
      <c r="I866" t="s">
        <v>35</v>
      </c>
      <c r="J866"/>
      <c r="K866">
        <v>30.64</v>
      </c>
      <c r="L866">
        <v>0.0</v>
      </c>
      <c r="M866"/>
      <c r="N866"/>
      <c r="O866">
        <v>5.52</v>
      </c>
      <c r="P866">
        <v>0.0</v>
      </c>
      <c r="Q866">
        <v>36.16</v>
      </c>
      <c r="R866"/>
      <c r="S866"/>
      <c r="T866"/>
      <c r="U866"/>
      <c r="V866"/>
      <c r="W866">
        <v>18</v>
      </c>
    </row>
    <row r="867" spans="1:23">
      <c r="A867"/>
      <c r="B867" t="s">
        <v>52</v>
      </c>
      <c r="C867" t="s">
        <v>52</v>
      </c>
      <c r="D867" t="s">
        <v>33</v>
      </c>
      <c r="E867" t="s">
        <v>34</v>
      </c>
      <c r="F867" t="str">
        <f>"0001186"</f>
        <v>0001186</v>
      </c>
      <c r="G867">
        <v>1</v>
      </c>
      <c r="H867" t="str">
        <f>"00000000"</f>
        <v>00000000</v>
      </c>
      <c r="I867" t="s">
        <v>35</v>
      </c>
      <c r="J867"/>
      <c r="K867">
        <v>0.04</v>
      </c>
      <c r="L867">
        <v>0.0</v>
      </c>
      <c r="M867"/>
      <c r="N867"/>
      <c r="O867">
        <v>0.01</v>
      </c>
      <c r="P867">
        <v>0.2</v>
      </c>
      <c r="Q867">
        <v>0.25</v>
      </c>
      <c r="R867"/>
      <c r="S867"/>
      <c r="T867"/>
      <c r="U867"/>
      <c r="V867"/>
      <c r="W867">
        <v>18</v>
      </c>
    </row>
    <row r="868" spans="1:23">
      <c r="A868"/>
      <c r="B868" t="s">
        <v>52</v>
      </c>
      <c r="C868" t="s">
        <v>52</v>
      </c>
      <c r="D868" t="s">
        <v>33</v>
      </c>
      <c r="E868" t="s">
        <v>34</v>
      </c>
      <c r="F868" t="str">
        <f>"0001187"</f>
        <v>0001187</v>
      </c>
      <c r="G868">
        <v>1</v>
      </c>
      <c r="H868" t="str">
        <f>"00000000"</f>
        <v>00000000</v>
      </c>
      <c r="I868" t="s">
        <v>35</v>
      </c>
      <c r="J868"/>
      <c r="K868">
        <v>9.22</v>
      </c>
      <c r="L868">
        <v>0.0</v>
      </c>
      <c r="M868"/>
      <c r="N868"/>
      <c r="O868">
        <v>1.66</v>
      </c>
      <c r="P868">
        <v>0.2</v>
      </c>
      <c r="Q868">
        <v>11.08</v>
      </c>
      <c r="R868"/>
      <c r="S868"/>
      <c r="T868"/>
      <c r="U868"/>
      <c r="V868"/>
      <c r="W868">
        <v>18</v>
      </c>
    </row>
    <row r="869" spans="1:23">
      <c r="A869"/>
      <c r="B869" t="s">
        <v>52</v>
      </c>
      <c r="C869" t="s">
        <v>52</v>
      </c>
      <c r="D869" t="s">
        <v>33</v>
      </c>
      <c r="E869" t="s">
        <v>34</v>
      </c>
      <c r="F869" t="str">
        <f>"0001188"</f>
        <v>0001188</v>
      </c>
      <c r="G869">
        <v>1</v>
      </c>
      <c r="H869" t="str">
        <f>"00000000"</f>
        <v>00000000</v>
      </c>
      <c r="I869" t="s">
        <v>35</v>
      </c>
      <c r="J869"/>
      <c r="K869">
        <v>56.65</v>
      </c>
      <c r="L869">
        <v>0.0</v>
      </c>
      <c r="M869"/>
      <c r="N869"/>
      <c r="O869">
        <v>10.2</v>
      </c>
      <c r="P869">
        <v>0.2</v>
      </c>
      <c r="Q869">
        <v>67.05</v>
      </c>
      <c r="R869"/>
      <c r="S869"/>
      <c r="T869"/>
      <c r="U869"/>
      <c r="V869"/>
      <c r="W869">
        <v>18</v>
      </c>
    </row>
    <row r="870" spans="1:23">
      <c r="A870"/>
      <c r="B870" t="s">
        <v>52</v>
      </c>
      <c r="C870" t="s">
        <v>52</v>
      </c>
      <c r="D870" t="s">
        <v>33</v>
      </c>
      <c r="E870" t="s">
        <v>34</v>
      </c>
      <c r="F870" t="str">
        <f>"0001189"</f>
        <v>0001189</v>
      </c>
      <c r="G870">
        <v>1</v>
      </c>
      <c r="H870" t="str">
        <f>"00000000"</f>
        <v>00000000</v>
      </c>
      <c r="I870" t="s">
        <v>35</v>
      </c>
      <c r="J870"/>
      <c r="K870">
        <v>6.99</v>
      </c>
      <c r="L870">
        <v>0.0</v>
      </c>
      <c r="M870"/>
      <c r="N870"/>
      <c r="O870">
        <v>1.26</v>
      </c>
      <c r="P870">
        <v>0.0</v>
      </c>
      <c r="Q870">
        <v>8.25</v>
      </c>
      <c r="R870"/>
      <c r="S870"/>
      <c r="T870"/>
      <c r="U870"/>
      <c r="V870"/>
      <c r="W870">
        <v>18</v>
      </c>
    </row>
    <row r="871" spans="1:23">
      <c r="A871"/>
      <c r="B871" t="s">
        <v>52</v>
      </c>
      <c r="C871" t="s">
        <v>52</v>
      </c>
      <c r="D871" t="s">
        <v>33</v>
      </c>
      <c r="E871" t="s">
        <v>34</v>
      </c>
      <c r="F871" t="str">
        <f>"0001190"</f>
        <v>0001190</v>
      </c>
      <c r="G871">
        <v>1</v>
      </c>
      <c r="H871" t="str">
        <f>"00000000"</f>
        <v>00000000</v>
      </c>
      <c r="I871" t="s">
        <v>35</v>
      </c>
      <c r="J871"/>
      <c r="K871">
        <v>6.74</v>
      </c>
      <c r="L871">
        <v>0.0</v>
      </c>
      <c r="M871"/>
      <c r="N871"/>
      <c r="O871">
        <v>1.21</v>
      </c>
      <c r="P871">
        <v>0.2</v>
      </c>
      <c r="Q871">
        <v>8.15</v>
      </c>
      <c r="R871"/>
      <c r="S871"/>
      <c r="T871"/>
      <c r="U871"/>
      <c r="V871"/>
      <c r="W871">
        <v>18</v>
      </c>
    </row>
    <row r="872" spans="1:23">
      <c r="A872"/>
      <c r="B872" t="s">
        <v>52</v>
      </c>
      <c r="C872" t="s">
        <v>52</v>
      </c>
      <c r="D872" t="s">
        <v>33</v>
      </c>
      <c r="E872" t="s">
        <v>34</v>
      </c>
      <c r="F872" t="str">
        <f>"0001191"</f>
        <v>0001191</v>
      </c>
      <c r="G872">
        <v>1</v>
      </c>
      <c r="H872" t="str">
        <f>"00000000"</f>
        <v>00000000</v>
      </c>
      <c r="I872" t="s">
        <v>35</v>
      </c>
      <c r="J872"/>
      <c r="K872">
        <v>5.99</v>
      </c>
      <c r="L872">
        <v>0.0</v>
      </c>
      <c r="M872"/>
      <c r="N872"/>
      <c r="O872">
        <v>1.08</v>
      </c>
      <c r="P872">
        <v>0.0</v>
      </c>
      <c r="Q872">
        <v>7.07</v>
      </c>
      <c r="R872"/>
      <c r="S872"/>
      <c r="T872"/>
      <c r="U872"/>
      <c r="V872"/>
      <c r="W872">
        <v>18</v>
      </c>
    </row>
    <row r="873" spans="1:23">
      <c r="A873"/>
      <c r="B873" t="s">
        <v>52</v>
      </c>
      <c r="C873" t="s">
        <v>52</v>
      </c>
      <c r="D873" t="s">
        <v>33</v>
      </c>
      <c r="E873" t="s">
        <v>34</v>
      </c>
      <c r="F873" t="str">
        <f>"0001192"</f>
        <v>0001192</v>
      </c>
      <c r="G873">
        <v>1</v>
      </c>
      <c r="H873" t="str">
        <f>"00000000"</f>
        <v>00000000</v>
      </c>
      <c r="I873" t="s">
        <v>35</v>
      </c>
      <c r="J873"/>
      <c r="K873">
        <v>2.03</v>
      </c>
      <c r="L873">
        <v>0.0</v>
      </c>
      <c r="M873"/>
      <c r="N873"/>
      <c r="O873">
        <v>0.37</v>
      </c>
      <c r="P873">
        <v>0.0</v>
      </c>
      <c r="Q873">
        <v>2.4</v>
      </c>
      <c r="R873"/>
      <c r="S873"/>
      <c r="T873"/>
      <c r="U873"/>
      <c r="V873"/>
      <c r="W873">
        <v>18</v>
      </c>
    </row>
    <row r="874" spans="1:23">
      <c r="A874"/>
      <c r="B874" t="s">
        <v>52</v>
      </c>
      <c r="C874" t="s">
        <v>52</v>
      </c>
      <c r="D874" t="s">
        <v>33</v>
      </c>
      <c r="E874" t="s">
        <v>34</v>
      </c>
      <c r="F874" t="str">
        <f>"0001193"</f>
        <v>0001193</v>
      </c>
      <c r="G874">
        <v>1</v>
      </c>
      <c r="H874" t="str">
        <f>"00000000"</f>
        <v>00000000</v>
      </c>
      <c r="I874" t="s">
        <v>35</v>
      </c>
      <c r="J874"/>
      <c r="K874">
        <v>32.68</v>
      </c>
      <c r="L874">
        <v>0.0</v>
      </c>
      <c r="M874"/>
      <c r="N874"/>
      <c r="O874">
        <v>5.88</v>
      </c>
      <c r="P874">
        <v>0.2</v>
      </c>
      <c r="Q874">
        <v>38.76</v>
      </c>
      <c r="R874"/>
      <c r="S874"/>
      <c r="T874"/>
      <c r="U874"/>
      <c r="V874"/>
      <c r="W874">
        <v>18</v>
      </c>
    </row>
    <row r="875" spans="1:23">
      <c r="A875"/>
      <c r="B875" t="s">
        <v>52</v>
      </c>
      <c r="C875" t="s">
        <v>52</v>
      </c>
      <c r="D875" t="s">
        <v>33</v>
      </c>
      <c r="E875" t="s">
        <v>34</v>
      </c>
      <c r="F875" t="str">
        <f>"0001194"</f>
        <v>0001194</v>
      </c>
      <c r="G875">
        <v>1</v>
      </c>
      <c r="H875" t="str">
        <f>"00000000"</f>
        <v>00000000</v>
      </c>
      <c r="I875" t="s">
        <v>35</v>
      </c>
      <c r="J875"/>
      <c r="K875">
        <v>10.37</v>
      </c>
      <c r="L875">
        <v>0.0</v>
      </c>
      <c r="M875"/>
      <c r="N875"/>
      <c r="O875">
        <v>1.87</v>
      </c>
      <c r="P875">
        <v>0.2</v>
      </c>
      <c r="Q875">
        <v>12.43</v>
      </c>
      <c r="R875"/>
      <c r="S875"/>
      <c r="T875"/>
      <c r="U875"/>
      <c r="V875"/>
      <c r="W875">
        <v>18</v>
      </c>
    </row>
    <row r="876" spans="1:23">
      <c r="A876"/>
      <c r="B876" t="s">
        <v>52</v>
      </c>
      <c r="C876" t="s">
        <v>52</v>
      </c>
      <c r="D876" t="s">
        <v>33</v>
      </c>
      <c r="E876" t="s">
        <v>34</v>
      </c>
      <c r="F876" t="str">
        <f>"0001195"</f>
        <v>0001195</v>
      </c>
      <c r="G876">
        <v>1</v>
      </c>
      <c r="H876" t="str">
        <f>"00000000"</f>
        <v>00000000</v>
      </c>
      <c r="I876" t="s">
        <v>35</v>
      </c>
      <c r="J876"/>
      <c r="K876">
        <v>14.95</v>
      </c>
      <c r="L876">
        <v>0.0</v>
      </c>
      <c r="M876"/>
      <c r="N876"/>
      <c r="O876">
        <v>2.69</v>
      </c>
      <c r="P876">
        <v>0.4</v>
      </c>
      <c r="Q876">
        <v>18.04</v>
      </c>
      <c r="R876"/>
      <c r="S876"/>
      <c r="T876"/>
      <c r="U876"/>
      <c r="V876"/>
      <c r="W876">
        <v>18</v>
      </c>
    </row>
    <row r="877" spans="1:23">
      <c r="A877"/>
      <c r="B877" t="s">
        <v>52</v>
      </c>
      <c r="C877" t="s">
        <v>52</v>
      </c>
      <c r="D877" t="s">
        <v>33</v>
      </c>
      <c r="E877" t="s">
        <v>34</v>
      </c>
      <c r="F877" t="str">
        <f>"0001196"</f>
        <v>0001196</v>
      </c>
      <c r="G877">
        <v>1</v>
      </c>
      <c r="H877" t="str">
        <f>"00000000"</f>
        <v>00000000</v>
      </c>
      <c r="I877" t="s">
        <v>35</v>
      </c>
      <c r="J877"/>
      <c r="K877">
        <v>26.69</v>
      </c>
      <c r="L877">
        <v>0.0</v>
      </c>
      <c r="M877"/>
      <c r="N877"/>
      <c r="O877">
        <v>4.8</v>
      </c>
      <c r="P877">
        <v>0.2</v>
      </c>
      <c r="Q877">
        <v>31.7</v>
      </c>
      <c r="R877"/>
      <c r="S877"/>
      <c r="T877"/>
      <c r="U877"/>
      <c r="V877"/>
      <c r="W877">
        <v>18</v>
      </c>
    </row>
    <row r="878" spans="1:23">
      <c r="A878"/>
      <c r="B878" t="s">
        <v>52</v>
      </c>
      <c r="C878" t="s">
        <v>52</v>
      </c>
      <c r="D878" t="s">
        <v>33</v>
      </c>
      <c r="E878" t="s">
        <v>34</v>
      </c>
      <c r="F878" t="str">
        <f>"0001197"</f>
        <v>0001197</v>
      </c>
      <c r="G878">
        <v>1</v>
      </c>
      <c r="H878" t="str">
        <f>"00000000"</f>
        <v>00000000</v>
      </c>
      <c r="I878" t="s">
        <v>35</v>
      </c>
      <c r="J878"/>
      <c r="K878">
        <v>2.53</v>
      </c>
      <c r="L878">
        <v>0.0</v>
      </c>
      <c r="M878"/>
      <c r="N878"/>
      <c r="O878">
        <v>0.46</v>
      </c>
      <c r="P878">
        <v>0.0</v>
      </c>
      <c r="Q878">
        <v>2.99</v>
      </c>
      <c r="R878"/>
      <c r="S878"/>
      <c r="T878"/>
      <c r="U878"/>
      <c r="V878"/>
      <c r="W878">
        <v>18</v>
      </c>
    </row>
    <row r="879" spans="1:23">
      <c r="A879"/>
      <c r="B879" t="s">
        <v>52</v>
      </c>
      <c r="C879" t="s">
        <v>52</v>
      </c>
      <c r="D879" t="s">
        <v>33</v>
      </c>
      <c r="E879" t="s">
        <v>34</v>
      </c>
      <c r="F879" t="str">
        <f>"0001198"</f>
        <v>0001198</v>
      </c>
      <c r="G879">
        <v>1</v>
      </c>
      <c r="H879" t="str">
        <f>"00000000"</f>
        <v>00000000</v>
      </c>
      <c r="I879" t="s">
        <v>35</v>
      </c>
      <c r="J879"/>
      <c r="K879">
        <v>33.64</v>
      </c>
      <c r="L879">
        <v>0.0</v>
      </c>
      <c r="M879"/>
      <c r="N879"/>
      <c r="O879">
        <v>6.06</v>
      </c>
      <c r="P879">
        <v>0.2</v>
      </c>
      <c r="Q879">
        <v>39.9</v>
      </c>
      <c r="R879"/>
      <c r="S879"/>
      <c r="T879"/>
      <c r="U879"/>
      <c r="V879"/>
      <c r="W879">
        <v>18</v>
      </c>
    </row>
    <row r="880" spans="1:23">
      <c r="A880"/>
      <c r="B880" t="s">
        <v>52</v>
      </c>
      <c r="C880" t="s">
        <v>52</v>
      </c>
      <c r="D880" t="s">
        <v>33</v>
      </c>
      <c r="E880" t="s">
        <v>34</v>
      </c>
      <c r="F880" t="str">
        <f>"0001199"</f>
        <v>0001199</v>
      </c>
      <c r="G880">
        <v>1</v>
      </c>
      <c r="H880" t="str">
        <f>"00000000"</f>
        <v>00000000</v>
      </c>
      <c r="I880" t="s">
        <v>35</v>
      </c>
      <c r="J880"/>
      <c r="K880">
        <v>16.66</v>
      </c>
      <c r="L880">
        <v>0.0</v>
      </c>
      <c r="M880"/>
      <c r="N880"/>
      <c r="O880">
        <v>3.0</v>
      </c>
      <c r="P880">
        <v>0.0</v>
      </c>
      <c r="Q880">
        <v>19.66</v>
      </c>
      <c r="R880"/>
      <c r="S880"/>
      <c r="T880"/>
      <c r="U880"/>
      <c r="V880"/>
      <c r="W880">
        <v>18</v>
      </c>
    </row>
    <row r="881" spans="1:23">
      <c r="A881"/>
      <c r="B881" t="s">
        <v>52</v>
      </c>
      <c r="C881" t="s">
        <v>52</v>
      </c>
      <c r="D881" t="s">
        <v>33</v>
      </c>
      <c r="E881" t="s">
        <v>34</v>
      </c>
      <c r="F881" t="str">
        <f>"0001200"</f>
        <v>0001200</v>
      </c>
      <c r="G881">
        <v>1</v>
      </c>
      <c r="H881" t="str">
        <f>"00000000"</f>
        <v>00000000</v>
      </c>
      <c r="I881" t="s">
        <v>35</v>
      </c>
      <c r="J881"/>
      <c r="K881">
        <v>3.81</v>
      </c>
      <c r="L881">
        <v>0.0</v>
      </c>
      <c r="M881"/>
      <c r="N881"/>
      <c r="O881">
        <v>0.69</v>
      </c>
      <c r="P881">
        <v>0.0</v>
      </c>
      <c r="Q881">
        <v>4.5</v>
      </c>
      <c r="R881"/>
      <c r="S881"/>
      <c r="T881"/>
      <c r="U881"/>
      <c r="V881"/>
      <c r="W881">
        <v>18</v>
      </c>
    </row>
    <row r="882" spans="1:23">
      <c r="A882"/>
      <c r="B882" t="s">
        <v>52</v>
      </c>
      <c r="C882" t="s">
        <v>52</v>
      </c>
      <c r="D882" t="s">
        <v>33</v>
      </c>
      <c r="E882" t="s">
        <v>34</v>
      </c>
      <c r="F882" t="str">
        <f>"0001201"</f>
        <v>0001201</v>
      </c>
      <c r="G882">
        <v>1</v>
      </c>
      <c r="H882" t="str">
        <f>"00000000"</f>
        <v>00000000</v>
      </c>
      <c r="I882" t="s">
        <v>35</v>
      </c>
      <c r="J882"/>
      <c r="K882">
        <v>21.19</v>
      </c>
      <c r="L882">
        <v>0.0</v>
      </c>
      <c r="M882"/>
      <c r="N882"/>
      <c r="O882">
        <v>3.81</v>
      </c>
      <c r="P882">
        <v>0.0</v>
      </c>
      <c r="Q882">
        <v>25.0</v>
      </c>
      <c r="R882"/>
      <c r="S882"/>
      <c r="T882"/>
      <c r="U882"/>
      <c r="V882"/>
      <c r="W882">
        <v>18</v>
      </c>
    </row>
    <row r="883" spans="1:23">
      <c r="A883"/>
      <c r="B883" t="s">
        <v>52</v>
      </c>
      <c r="C883" t="s">
        <v>52</v>
      </c>
      <c r="D883" t="s">
        <v>33</v>
      </c>
      <c r="E883" t="s">
        <v>34</v>
      </c>
      <c r="F883" t="str">
        <f>"0001202"</f>
        <v>0001202</v>
      </c>
      <c r="G883">
        <v>6</v>
      </c>
      <c r="H883" t="str">
        <f>"10167986779"</f>
        <v>10167986779</v>
      </c>
      <c r="I883" t="s">
        <v>55</v>
      </c>
      <c r="J883"/>
      <c r="K883">
        <v>171.95</v>
      </c>
      <c r="L883">
        <v>0.0</v>
      </c>
      <c r="M883"/>
      <c r="N883"/>
      <c r="O883">
        <v>30.95</v>
      </c>
      <c r="P883">
        <v>1.0</v>
      </c>
      <c r="Q883">
        <v>203.9</v>
      </c>
      <c r="R883"/>
      <c r="S883"/>
      <c r="T883"/>
      <c r="U883"/>
      <c r="V883"/>
      <c r="W883">
        <v>18</v>
      </c>
    </row>
    <row r="884" spans="1:23">
      <c r="A884"/>
      <c r="B884" t="s">
        <v>52</v>
      </c>
      <c r="C884" t="s">
        <v>52</v>
      </c>
      <c r="D884" t="s">
        <v>33</v>
      </c>
      <c r="E884" t="s">
        <v>34</v>
      </c>
      <c r="F884" t="str">
        <f>"0001203"</f>
        <v>0001203</v>
      </c>
      <c r="G884">
        <v>1</v>
      </c>
      <c r="H884" t="str">
        <f>"00000000"</f>
        <v>00000000</v>
      </c>
      <c r="I884" t="s">
        <v>35</v>
      </c>
      <c r="J884"/>
      <c r="K884">
        <v>71.62</v>
      </c>
      <c r="L884">
        <v>0.0</v>
      </c>
      <c r="M884"/>
      <c r="N884"/>
      <c r="O884">
        <v>12.89</v>
      </c>
      <c r="P884">
        <v>0.4</v>
      </c>
      <c r="Q884">
        <v>84.92</v>
      </c>
      <c r="R884"/>
      <c r="S884"/>
      <c r="T884"/>
      <c r="U884"/>
      <c r="V884"/>
      <c r="W884">
        <v>18</v>
      </c>
    </row>
    <row r="885" spans="1:23">
      <c r="A885"/>
      <c r="B885" t="s">
        <v>52</v>
      </c>
      <c r="C885" t="s">
        <v>52</v>
      </c>
      <c r="D885" t="s">
        <v>33</v>
      </c>
      <c r="E885" t="s">
        <v>34</v>
      </c>
      <c r="F885" t="str">
        <f>"0001204"</f>
        <v>0001204</v>
      </c>
      <c r="G885">
        <v>1</v>
      </c>
      <c r="H885" t="str">
        <f>"00000000"</f>
        <v>00000000</v>
      </c>
      <c r="I885" t="s">
        <v>35</v>
      </c>
      <c r="J885"/>
      <c r="K885">
        <v>73.06</v>
      </c>
      <c r="L885">
        <v>0.0</v>
      </c>
      <c r="M885"/>
      <c r="N885"/>
      <c r="O885">
        <v>13.15</v>
      </c>
      <c r="P885">
        <v>0.2</v>
      </c>
      <c r="Q885">
        <v>86.41</v>
      </c>
      <c r="R885"/>
      <c r="S885"/>
      <c r="T885"/>
      <c r="U885"/>
      <c r="V885"/>
      <c r="W885">
        <v>18</v>
      </c>
    </row>
    <row r="886" spans="1:23">
      <c r="A886"/>
      <c r="B886" t="s">
        <v>52</v>
      </c>
      <c r="C886" t="s">
        <v>52</v>
      </c>
      <c r="D886" t="s">
        <v>33</v>
      </c>
      <c r="E886" t="s">
        <v>34</v>
      </c>
      <c r="F886" t="str">
        <f>"0001205"</f>
        <v>0001205</v>
      </c>
      <c r="G886">
        <v>1</v>
      </c>
      <c r="H886" t="str">
        <f>"00000000"</f>
        <v>00000000</v>
      </c>
      <c r="I886" t="s">
        <v>35</v>
      </c>
      <c r="J886"/>
      <c r="K886">
        <v>15.51</v>
      </c>
      <c r="L886">
        <v>0.0</v>
      </c>
      <c r="M886"/>
      <c r="N886"/>
      <c r="O886">
        <v>2.79</v>
      </c>
      <c r="P886">
        <v>0.2</v>
      </c>
      <c r="Q886">
        <v>18.5</v>
      </c>
      <c r="R886"/>
      <c r="S886"/>
      <c r="T886"/>
      <c r="U886"/>
      <c r="V886"/>
      <c r="W886">
        <v>18</v>
      </c>
    </row>
    <row r="887" spans="1:23">
      <c r="A887"/>
      <c r="B887" t="s">
        <v>52</v>
      </c>
      <c r="C887" t="s">
        <v>52</v>
      </c>
      <c r="D887" t="s">
        <v>33</v>
      </c>
      <c r="E887" t="s">
        <v>34</v>
      </c>
      <c r="F887" t="str">
        <f>"0001206"</f>
        <v>0001206</v>
      </c>
      <c r="G887">
        <v>1</v>
      </c>
      <c r="H887" t="str">
        <f>"00000000"</f>
        <v>00000000</v>
      </c>
      <c r="I887" t="s">
        <v>35</v>
      </c>
      <c r="J887"/>
      <c r="K887">
        <v>13.37</v>
      </c>
      <c r="L887">
        <v>0.0</v>
      </c>
      <c r="M887"/>
      <c r="N887"/>
      <c r="O887">
        <v>2.41</v>
      </c>
      <c r="P887">
        <v>0.2</v>
      </c>
      <c r="Q887">
        <v>15.98</v>
      </c>
      <c r="R887"/>
      <c r="S887"/>
      <c r="T887"/>
      <c r="U887"/>
      <c r="V887"/>
      <c r="W887">
        <v>18</v>
      </c>
    </row>
    <row r="888" spans="1:23">
      <c r="A888"/>
      <c r="B888" t="s">
        <v>52</v>
      </c>
      <c r="C888" t="s">
        <v>52</v>
      </c>
      <c r="D888" t="s">
        <v>33</v>
      </c>
      <c r="E888" t="s">
        <v>34</v>
      </c>
      <c r="F888" t="str">
        <f>"0001207"</f>
        <v>0001207</v>
      </c>
      <c r="G888">
        <v>1</v>
      </c>
      <c r="H888" t="str">
        <f>"00000000"</f>
        <v>00000000</v>
      </c>
      <c r="I888" t="s">
        <v>35</v>
      </c>
      <c r="J888"/>
      <c r="K888">
        <v>9.11</v>
      </c>
      <c r="L888">
        <v>0.0</v>
      </c>
      <c r="M888"/>
      <c r="N888"/>
      <c r="O888">
        <v>1.64</v>
      </c>
      <c r="P888">
        <v>0.2</v>
      </c>
      <c r="Q888">
        <v>10.95</v>
      </c>
      <c r="R888"/>
      <c r="S888"/>
      <c r="T888"/>
      <c r="U888"/>
      <c r="V888"/>
      <c r="W888">
        <v>18</v>
      </c>
    </row>
    <row r="889" spans="1:23">
      <c r="A889"/>
      <c r="B889" t="s">
        <v>52</v>
      </c>
      <c r="C889" t="s">
        <v>52</v>
      </c>
      <c r="D889" t="s">
        <v>33</v>
      </c>
      <c r="E889" t="s">
        <v>34</v>
      </c>
      <c r="F889" t="str">
        <f>"0001208"</f>
        <v>0001208</v>
      </c>
      <c r="G889">
        <v>1</v>
      </c>
      <c r="H889" t="str">
        <f>"00000000"</f>
        <v>00000000</v>
      </c>
      <c r="I889" t="s">
        <v>35</v>
      </c>
      <c r="J889"/>
      <c r="K889">
        <v>8.87</v>
      </c>
      <c r="L889">
        <v>0.0</v>
      </c>
      <c r="M889"/>
      <c r="N889"/>
      <c r="O889">
        <v>1.6</v>
      </c>
      <c r="P889">
        <v>0.0</v>
      </c>
      <c r="Q889">
        <v>10.47</v>
      </c>
      <c r="R889"/>
      <c r="S889"/>
      <c r="T889"/>
      <c r="U889"/>
      <c r="V889"/>
      <c r="W889">
        <v>18</v>
      </c>
    </row>
    <row r="890" spans="1:23">
      <c r="A890"/>
      <c r="B890" t="s">
        <v>52</v>
      </c>
      <c r="C890" t="s">
        <v>52</v>
      </c>
      <c r="D890" t="s">
        <v>33</v>
      </c>
      <c r="E890" t="s">
        <v>34</v>
      </c>
      <c r="F890" t="str">
        <f>"0001209"</f>
        <v>0001209</v>
      </c>
      <c r="G890">
        <v>1</v>
      </c>
      <c r="H890" t="str">
        <f>"00000000"</f>
        <v>00000000</v>
      </c>
      <c r="I890" t="s">
        <v>35</v>
      </c>
      <c r="J890"/>
      <c r="K890">
        <v>9.32</v>
      </c>
      <c r="L890">
        <v>0.0</v>
      </c>
      <c r="M890"/>
      <c r="N890"/>
      <c r="O890">
        <v>1.68</v>
      </c>
      <c r="P890">
        <v>0.0</v>
      </c>
      <c r="Q890">
        <v>11.0</v>
      </c>
      <c r="R890"/>
      <c r="S890"/>
      <c r="T890"/>
      <c r="U890"/>
      <c r="V890"/>
      <c r="W890">
        <v>18</v>
      </c>
    </row>
    <row r="891" spans="1:23">
      <c r="A891"/>
      <c r="B891" t="s">
        <v>52</v>
      </c>
      <c r="C891" t="s">
        <v>52</v>
      </c>
      <c r="D891" t="s">
        <v>33</v>
      </c>
      <c r="E891" t="s">
        <v>34</v>
      </c>
      <c r="F891" t="str">
        <f>"0001210"</f>
        <v>0001210</v>
      </c>
      <c r="G891">
        <v>1</v>
      </c>
      <c r="H891" t="str">
        <f>"00000000"</f>
        <v>00000000</v>
      </c>
      <c r="I891" t="s">
        <v>35</v>
      </c>
      <c r="J891"/>
      <c r="K891">
        <v>0.17</v>
      </c>
      <c r="L891">
        <v>0.0</v>
      </c>
      <c r="M891"/>
      <c r="N891"/>
      <c r="O891">
        <v>0.03</v>
      </c>
      <c r="P891">
        <v>0.4</v>
      </c>
      <c r="Q891">
        <v>0.6</v>
      </c>
      <c r="R891"/>
      <c r="S891"/>
      <c r="T891"/>
      <c r="U891"/>
      <c r="V891"/>
      <c r="W891">
        <v>18</v>
      </c>
    </row>
    <row r="892" spans="1:23">
      <c r="A892"/>
      <c r="B892" t="s">
        <v>52</v>
      </c>
      <c r="C892" t="s">
        <v>52</v>
      </c>
      <c r="D892" t="s">
        <v>33</v>
      </c>
      <c r="E892" t="s">
        <v>34</v>
      </c>
      <c r="F892" t="str">
        <f>"0001211"</f>
        <v>0001211</v>
      </c>
      <c r="G892">
        <v>1</v>
      </c>
      <c r="H892" t="str">
        <f>"00000000"</f>
        <v>00000000</v>
      </c>
      <c r="I892" t="s">
        <v>35</v>
      </c>
      <c r="J892"/>
      <c r="K892">
        <v>13.73</v>
      </c>
      <c r="L892">
        <v>0.0</v>
      </c>
      <c r="M892"/>
      <c r="N892"/>
      <c r="O892">
        <v>2.47</v>
      </c>
      <c r="P892">
        <v>0.2</v>
      </c>
      <c r="Q892">
        <v>16.4</v>
      </c>
      <c r="R892"/>
      <c r="S892"/>
      <c r="T892"/>
      <c r="U892"/>
      <c r="V892"/>
      <c r="W892">
        <v>18</v>
      </c>
    </row>
    <row r="893" spans="1:23">
      <c r="A893"/>
      <c r="B893" t="s">
        <v>56</v>
      </c>
      <c r="C893" t="s">
        <v>56</v>
      </c>
      <c r="D893" t="s">
        <v>33</v>
      </c>
      <c r="E893" t="s">
        <v>34</v>
      </c>
      <c r="F893" t="str">
        <f>"0001212"</f>
        <v>0001212</v>
      </c>
      <c r="G893">
        <v>1</v>
      </c>
      <c r="H893" t="str">
        <f>"00000000"</f>
        <v>00000000</v>
      </c>
      <c r="I893" t="s">
        <v>35</v>
      </c>
      <c r="J893"/>
      <c r="K893">
        <v>24.05</v>
      </c>
      <c r="L893">
        <v>0.0</v>
      </c>
      <c r="M893"/>
      <c r="N893"/>
      <c r="O893">
        <v>4.33</v>
      </c>
      <c r="P893">
        <v>0.2</v>
      </c>
      <c r="Q893">
        <v>28.58</v>
      </c>
      <c r="R893"/>
      <c r="S893"/>
      <c r="T893"/>
      <c r="U893"/>
      <c r="V893"/>
      <c r="W893">
        <v>18</v>
      </c>
    </row>
    <row r="894" spans="1:23">
      <c r="A894"/>
      <c r="B894" t="s">
        <v>56</v>
      </c>
      <c r="C894" t="s">
        <v>56</v>
      </c>
      <c r="D894" t="s">
        <v>33</v>
      </c>
      <c r="E894" t="s">
        <v>34</v>
      </c>
      <c r="F894" t="str">
        <f>"0001213"</f>
        <v>0001213</v>
      </c>
      <c r="G894">
        <v>1</v>
      </c>
      <c r="H894" t="str">
        <f>"00000000"</f>
        <v>00000000</v>
      </c>
      <c r="I894" t="s">
        <v>35</v>
      </c>
      <c r="J894"/>
      <c r="K894">
        <v>3.81</v>
      </c>
      <c r="L894">
        <v>0.0</v>
      </c>
      <c r="M894"/>
      <c r="N894"/>
      <c r="O894">
        <v>0.69</v>
      </c>
      <c r="P894">
        <v>0.0</v>
      </c>
      <c r="Q894">
        <v>4.5</v>
      </c>
      <c r="R894"/>
      <c r="S894"/>
      <c r="T894"/>
      <c r="U894"/>
      <c r="V894"/>
      <c r="W894">
        <v>18</v>
      </c>
    </row>
    <row r="895" spans="1:23">
      <c r="A895"/>
      <c r="B895" t="s">
        <v>56</v>
      </c>
      <c r="C895" t="s">
        <v>56</v>
      </c>
      <c r="D895" t="s">
        <v>33</v>
      </c>
      <c r="E895" t="s">
        <v>34</v>
      </c>
      <c r="F895" t="str">
        <f>"0001214"</f>
        <v>0001214</v>
      </c>
      <c r="G895">
        <v>1</v>
      </c>
      <c r="H895" t="str">
        <f>"00000000"</f>
        <v>00000000</v>
      </c>
      <c r="I895" t="s">
        <v>35</v>
      </c>
      <c r="J895"/>
      <c r="K895">
        <v>0.23</v>
      </c>
      <c r="L895">
        <v>0.0</v>
      </c>
      <c r="M895"/>
      <c r="N895"/>
      <c r="O895">
        <v>0.04</v>
      </c>
      <c r="P895">
        <v>0.0</v>
      </c>
      <c r="Q895">
        <v>0.27</v>
      </c>
      <c r="R895"/>
      <c r="S895"/>
      <c r="T895"/>
      <c r="U895"/>
      <c r="V895"/>
      <c r="W895">
        <v>18</v>
      </c>
    </row>
    <row r="896" spans="1:23">
      <c r="A896"/>
      <c r="B896" t="s">
        <v>56</v>
      </c>
      <c r="C896" t="s">
        <v>56</v>
      </c>
      <c r="D896" t="s">
        <v>33</v>
      </c>
      <c r="E896" t="s">
        <v>34</v>
      </c>
      <c r="F896" t="str">
        <f>"0001215"</f>
        <v>0001215</v>
      </c>
      <c r="G896">
        <v>1</v>
      </c>
      <c r="H896" t="str">
        <f>"00000000"</f>
        <v>00000000</v>
      </c>
      <c r="I896" t="s">
        <v>35</v>
      </c>
      <c r="J896"/>
      <c r="K896">
        <v>98.03</v>
      </c>
      <c r="L896">
        <v>0.0</v>
      </c>
      <c r="M896"/>
      <c r="N896"/>
      <c r="O896">
        <v>17.65</v>
      </c>
      <c r="P896">
        <v>0.6</v>
      </c>
      <c r="Q896">
        <v>116.28</v>
      </c>
      <c r="R896"/>
      <c r="S896"/>
      <c r="T896"/>
      <c r="U896"/>
      <c r="V896"/>
      <c r="W896">
        <v>18</v>
      </c>
    </row>
    <row r="897" spans="1:23">
      <c r="A897"/>
      <c r="B897" t="s">
        <v>56</v>
      </c>
      <c r="C897" t="s">
        <v>56</v>
      </c>
      <c r="D897" t="s">
        <v>33</v>
      </c>
      <c r="E897" t="s">
        <v>34</v>
      </c>
      <c r="F897" t="str">
        <f>"0001216"</f>
        <v>0001216</v>
      </c>
      <c r="G897">
        <v>1</v>
      </c>
      <c r="H897" t="str">
        <f>"00000000"</f>
        <v>00000000</v>
      </c>
      <c r="I897" t="s">
        <v>35</v>
      </c>
      <c r="J897"/>
      <c r="K897">
        <v>7.27</v>
      </c>
      <c r="L897">
        <v>0.0</v>
      </c>
      <c r="M897"/>
      <c r="N897"/>
      <c r="O897">
        <v>1.31</v>
      </c>
      <c r="P897">
        <v>0.2</v>
      </c>
      <c r="Q897">
        <v>8.78</v>
      </c>
      <c r="R897"/>
      <c r="S897"/>
      <c r="T897"/>
      <c r="U897"/>
      <c r="V897"/>
      <c r="W897">
        <v>18</v>
      </c>
    </row>
    <row r="898" spans="1:23">
      <c r="A898"/>
      <c r="B898" t="s">
        <v>56</v>
      </c>
      <c r="C898" t="s">
        <v>56</v>
      </c>
      <c r="D898" t="s">
        <v>33</v>
      </c>
      <c r="E898" t="s">
        <v>34</v>
      </c>
      <c r="F898" t="str">
        <f>"0001217"</f>
        <v>0001217</v>
      </c>
      <c r="G898">
        <v>1</v>
      </c>
      <c r="H898" t="str">
        <f>"00000000"</f>
        <v>00000000</v>
      </c>
      <c r="I898" t="s">
        <v>35</v>
      </c>
      <c r="J898"/>
      <c r="K898">
        <v>12.63</v>
      </c>
      <c r="L898">
        <v>0.0</v>
      </c>
      <c r="M898"/>
      <c r="N898"/>
      <c r="O898">
        <v>2.27</v>
      </c>
      <c r="P898">
        <v>0.0</v>
      </c>
      <c r="Q898">
        <v>14.9</v>
      </c>
      <c r="R898"/>
      <c r="S898"/>
      <c r="T898"/>
      <c r="U898"/>
      <c r="V898"/>
      <c r="W898">
        <v>18</v>
      </c>
    </row>
    <row r="899" spans="1:23">
      <c r="A899"/>
      <c r="B899" t="s">
        <v>56</v>
      </c>
      <c r="C899" t="s">
        <v>56</v>
      </c>
      <c r="D899" t="s">
        <v>33</v>
      </c>
      <c r="E899" t="s">
        <v>34</v>
      </c>
      <c r="F899" t="str">
        <f>"0001218"</f>
        <v>0001218</v>
      </c>
      <c r="G899">
        <v>1</v>
      </c>
      <c r="H899" t="str">
        <f>"00000000"</f>
        <v>00000000</v>
      </c>
      <c r="I899" t="s">
        <v>35</v>
      </c>
      <c r="J899"/>
      <c r="K899">
        <v>33.13</v>
      </c>
      <c r="L899">
        <v>0.0</v>
      </c>
      <c r="M899"/>
      <c r="N899"/>
      <c r="O899">
        <v>5.96</v>
      </c>
      <c r="P899">
        <v>0.2</v>
      </c>
      <c r="Q899">
        <v>39.29</v>
      </c>
      <c r="R899"/>
      <c r="S899"/>
      <c r="T899"/>
      <c r="U899"/>
      <c r="V899"/>
      <c r="W899">
        <v>18</v>
      </c>
    </row>
    <row r="900" spans="1:23">
      <c r="A900"/>
      <c r="B900" t="s">
        <v>56</v>
      </c>
      <c r="C900" t="s">
        <v>56</v>
      </c>
      <c r="D900" t="s">
        <v>33</v>
      </c>
      <c r="E900" t="s">
        <v>34</v>
      </c>
      <c r="F900" t="str">
        <f>"0001219"</f>
        <v>0001219</v>
      </c>
      <c r="G900">
        <v>1</v>
      </c>
      <c r="H900" t="str">
        <f>"00000000"</f>
        <v>00000000</v>
      </c>
      <c r="I900" t="s">
        <v>35</v>
      </c>
      <c r="J900"/>
      <c r="K900">
        <v>2.53</v>
      </c>
      <c r="L900">
        <v>0.0</v>
      </c>
      <c r="M900"/>
      <c r="N900"/>
      <c r="O900">
        <v>0.46</v>
      </c>
      <c r="P900">
        <v>0.0</v>
      </c>
      <c r="Q900">
        <v>2.99</v>
      </c>
      <c r="R900"/>
      <c r="S900"/>
      <c r="T900"/>
      <c r="U900"/>
      <c r="V900"/>
      <c r="W900">
        <v>18</v>
      </c>
    </row>
    <row r="901" spans="1:23">
      <c r="A901"/>
      <c r="B901" t="s">
        <v>56</v>
      </c>
      <c r="C901" t="s">
        <v>56</v>
      </c>
      <c r="D901" t="s">
        <v>33</v>
      </c>
      <c r="E901" t="s">
        <v>34</v>
      </c>
      <c r="F901" t="str">
        <f>"0001220"</f>
        <v>0001220</v>
      </c>
      <c r="G901">
        <v>1</v>
      </c>
      <c r="H901" t="str">
        <f>"00000000"</f>
        <v>00000000</v>
      </c>
      <c r="I901" t="s">
        <v>35</v>
      </c>
      <c r="J901"/>
      <c r="K901">
        <v>15.13</v>
      </c>
      <c r="L901">
        <v>0.0</v>
      </c>
      <c r="M901"/>
      <c r="N901"/>
      <c r="O901">
        <v>2.72</v>
      </c>
      <c r="P901">
        <v>0.2</v>
      </c>
      <c r="Q901">
        <v>18.06</v>
      </c>
      <c r="R901"/>
      <c r="S901"/>
      <c r="T901"/>
      <c r="U901"/>
      <c r="V901"/>
      <c r="W901">
        <v>18</v>
      </c>
    </row>
    <row r="902" spans="1:23">
      <c r="A902"/>
      <c r="B902" t="s">
        <v>56</v>
      </c>
      <c r="C902" t="s">
        <v>56</v>
      </c>
      <c r="D902" t="s">
        <v>33</v>
      </c>
      <c r="E902" t="s">
        <v>34</v>
      </c>
      <c r="F902" t="str">
        <f>"0001221"</f>
        <v>0001221</v>
      </c>
      <c r="G902">
        <v>1</v>
      </c>
      <c r="H902" t="str">
        <f>"00000000"</f>
        <v>00000000</v>
      </c>
      <c r="I902" t="s">
        <v>35</v>
      </c>
      <c r="J902"/>
      <c r="K902">
        <v>8.31</v>
      </c>
      <c r="L902">
        <v>0.0</v>
      </c>
      <c r="M902"/>
      <c r="N902"/>
      <c r="O902">
        <v>1.49</v>
      </c>
      <c r="P902">
        <v>0.0</v>
      </c>
      <c r="Q902">
        <v>9.8</v>
      </c>
      <c r="R902"/>
      <c r="S902"/>
      <c r="T902"/>
      <c r="U902"/>
      <c r="V902"/>
      <c r="W902">
        <v>18</v>
      </c>
    </row>
    <row r="903" spans="1:23">
      <c r="A903"/>
      <c r="B903" t="s">
        <v>56</v>
      </c>
      <c r="C903" t="s">
        <v>56</v>
      </c>
      <c r="D903" t="s">
        <v>33</v>
      </c>
      <c r="E903" t="s">
        <v>34</v>
      </c>
      <c r="F903" t="str">
        <f>"0001222"</f>
        <v>0001222</v>
      </c>
      <c r="G903">
        <v>1</v>
      </c>
      <c r="H903" t="str">
        <f>"00000000"</f>
        <v>00000000</v>
      </c>
      <c r="I903" t="s">
        <v>35</v>
      </c>
      <c r="J903"/>
      <c r="K903">
        <v>10.76</v>
      </c>
      <c r="L903">
        <v>0.0</v>
      </c>
      <c r="M903"/>
      <c r="N903"/>
      <c r="O903">
        <v>1.94</v>
      </c>
      <c r="P903">
        <v>0.2</v>
      </c>
      <c r="Q903">
        <v>12.9</v>
      </c>
      <c r="R903"/>
      <c r="S903"/>
      <c r="T903"/>
      <c r="U903"/>
      <c r="V903"/>
      <c r="W903">
        <v>18</v>
      </c>
    </row>
    <row r="904" spans="1:23">
      <c r="A904"/>
      <c r="B904" t="s">
        <v>56</v>
      </c>
      <c r="C904" t="s">
        <v>56</v>
      </c>
      <c r="D904" t="s">
        <v>33</v>
      </c>
      <c r="E904" t="s">
        <v>34</v>
      </c>
      <c r="F904" t="str">
        <f>"0001223"</f>
        <v>0001223</v>
      </c>
      <c r="G904">
        <v>1</v>
      </c>
      <c r="H904" t="str">
        <f>"00000000"</f>
        <v>00000000</v>
      </c>
      <c r="I904" t="s">
        <v>35</v>
      </c>
      <c r="J904"/>
      <c r="K904">
        <v>27.12</v>
      </c>
      <c r="L904">
        <v>0.0</v>
      </c>
      <c r="M904"/>
      <c r="N904"/>
      <c r="O904">
        <v>4.88</v>
      </c>
      <c r="P904">
        <v>0.0</v>
      </c>
      <c r="Q904">
        <v>32.0</v>
      </c>
      <c r="R904"/>
      <c r="S904"/>
      <c r="T904"/>
      <c r="U904"/>
      <c r="V904"/>
      <c r="W904">
        <v>18</v>
      </c>
    </row>
    <row r="905" spans="1:23">
      <c r="A905"/>
      <c r="B905" t="s">
        <v>56</v>
      </c>
      <c r="C905" t="s">
        <v>56</v>
      </c>
      <c r="D905" t="s">
        <v>33</v>
      </c>
      <c r="E905" t="s">
        <v>34</v>
      </c>
      <c r="F905" t="str">
        <f>"0001224"</f>
        <v>0001224</v>
      </c>
      <c r="G905">
        <v>1</v>
      </c>
      <c r="H905" t="str">
        <f>"00000000"</f>
        <v>00000000</v>
      </c>
      <c r="I905" t="s">
        <v>35</v>
      </c>
      <c r="J905"/>
      <c r="K905">
        <v>4.15</v>
      </c>
      <c r="L905">
        <v>0.0</v>
      </c>
      <c r="M905"/>
      <c r="N905"/>
      <c r="O905">
        <v>0.75</v>
      </c>
      <c r="P905">
        <v>0.0</v>
      </c>
      <c r="Q905">
        <v>4.9</v>
      </c>
      <c r="R905"/>
      <c r="S905"/>
      <c r="T905"/>
      <c r="U905"/>
      <c r="V905"/>
      <c r="W905">
        <v>18</v>
      </c>
    </row>
    <row r="906" spans="1:23">
      <c r="A906"/>
      <c r="B906" t="s">
        <v>56</v>
      </c>
      <c r="C906" t="s">
        <v>56</v>
      </c>
      <c r="D906" t="s">
        <v>33</v>
      </c>
      <c r="E906" t="s">
        <v>34</v>
      </c>
      <c r="F906" t="str">
        <f>"0001225"</f>
        <v>0001225</v>
      </c>
      <c r="G906">
        <v>1</v>
      </c>
      <c r="H906" t="str">
        <f>"00000000"</f>
        <v>00000000</v>
      </c>
      <c r="I906" t="s">
        <v>35</v>
      </c>
      <c r="J906"/>
      <c r="K906">
        <v>9.75</v>
      </c>
      <c r="L906">
        <v>0.0</v>
      </c>
      <c r="M906"/>
      <c r="N906"/>
      <c r="O906">
        <v>1.75</v>
      </c>
      <c r="P906">
        <v>0.0</v>
      </c>
      <c r="Q906">
        <v>11.5</v>
      </c>
      <c r="R906"/>
      <c r="S906"/>
      <c r="T906"/>
      <c r="U906"/>
      <c r="V906"/>
      <c r="W906">
        <v>18</v>
      </c>
    </row>
    <row r="907" spans="1:23">
      <c r="A907"/>
      <c r="B907" t="s">
        <v>56</v>
      </c>
      <c r="C907" t="s">
        <v>56</v>
      </c>
      <c r="D907" t="s">
        <v>33</v>
      </c>
      <c r="E907" t="s">
        <v>34</v>
      </c>
      <c r="F907" t="str">
        <f>"0001226"</f>
        <v>0001226</v>
      </c>
      <c r="G907">
        <v>1</v>
      </c>
      <c r="H907" t="str">
        <f>"00000000"</f>
        <v>00000000</v>
      </c>
      <c r="I907" t="s">
        <v>35</v>
      </c>
      <c r="J907"/>
      <c r="K907">
        <v>19.18</v>
      </c>
      <c r="L907">
        <v>0.0</v>
      </c>
      <c r="M907"/>
      <c r="N907"/>
      <c r="O907">
        <v>3.45</v>
      </c>
      <c r="P907">
        <v>0.2</v>
      </c>
      <c r="Q907">
        <v>22.84</v>
      </c>
      <c r="R907"/>
      <c r="S907"/>
      <c r="T907"/>
      <c r="U907"/>
      <c r="V907"/>
      <c r="W907">
        <v>18</v>
      </c>
    </row>
    <row r="908" spans="1:23">
      <c r="A908"/>
      <c r="B908" t="s">
        <v>56</v>
      </c>
      <c r="C908" t="s">
        <v>56</v>
      </c>
      <c r="D908" t="s">
        <v>33</v>
      </c>
      <c r="E908" t="s">
        <v>34</v>
      </c>
      <c r="F908" t="str">
        <f>"0001227"</f>
        <v>0001227</v>
      </c>
      <c r="G908">
        <v>1</v>
      </c>
      <c r="H908" t="str">
        <f>"00000000"</f>
        <v>00000000</v>
      </c>
      <c r="I908" t="s">
        <v>35</v>
      </c>
      <c r="J908"/>
      <c r="K908">
        <v>5.93</v>
      </c>
      <c r="L908">
        <v>0.0</v>
      </c>
      <c r="M908"/>
      <c r="N908"/>
      <c r="O908">
        <v>1.07</v>
      </c>
      <c r="P908">
        <v>0.0</v>
      </c>
      <c r="Q908">
        <v>7.0</v>
      </c>
      <c r="R908"/>
      <c r="S908"/>
      <c r="T908"/>
      <c r="U908"/>
      <c r="V908"/>
      <c r="W908">
        <v>18</v>
      </c>
    </row>
    <row r="909" spans="1:23">
      <c r="A909"/>
      <c r="B909" t="s">
        <v>56</v>
      </c>
      <c r="C909" t="s">
        <v>56</v>
      </c>
      <c r="D909" t="s">
        <v>33</v>
      </c>
      <c r="E909" t="s">
        <v>34</v>
      </c>
      <c r="F909" t="str">
        <f>"0001228"</f>
        <v>0001228</v>
      </c>
      <c r="G909">
        <v>1</v>
      </c>
      <c r="H909" t="str">
        <f>"00000000"</f>
        <v>00000000</v>
      </c>
      <c r="I909" t="s">
        <v>35</v>
      </c>
      <c r="J909"/>
      <c r="K909">
        <v>3.45</v>
      </c>
      <c r="L909">
        <v>0.0</v>
      </c>
      <c r="M909"/>
      <c r="N909"/>
      <c r="O909">
        <v>0.62</v>
      </c>
      <c r="P909">
        <v>0.0</v>
      </c>
      <c r="Q909">
        <v>4.07</v>
      </c>
      <c r="R909"/>
      <c r="S909"/>
      <c r="T909"/>
      <c r="U909"/>
      <c r="V909"/>
      <c r="W909">
        <v>18</v>
      </c>
    </row>
    <row r="910" spans="1:23">
      <c r="A910"/>
      <c r="B910" t="s">
        <v>56</v>
      </c>
      <c r="C910" t="s">
        <v>56</v>
      </c>
      <c r="D910" t="s">
        <v>33</v>
      </c>
      <c r="E910" t="s">
        <v>34</v>
      </c>
      <c r="F910" t="str">
        <f>"0001229"</f>
        <v>0001229</v>
      </c>
      <c r="G910">
        <v>1</v>
      </c>
      <c r="H910" t="str">
        <f>"00000000"</f>
        <v>00000000</v>
      </c>
      <c r="I910" t="s">
        <v>35</v>
      </c>
      <c r="J910"/>
      <c r="K910">
        <v>8.99</v>
      </c>
      <c r="L910">
        <v>0.0</v>
      </c>
      <c r="M910"/>
      <c r="N910"/>
      <c r="O910">
        <v>1.62</v>
      </c>
      <c r="P910">
        <v>0.0</v>
      </c>
      <c r="Q910">
        <v>10.6</v>
      </c>
      <c r="R910"/>
      <c r="S910"/>
      <c r="T910"/>
      <c r="U910"/>
      <c r="V910"/>
      <c r="W910">
        <v>18</v>
      </c>
    </row>
    <row r="911" spans="1:23">
      <c r="A911"/>
      <c r="B911" t="s">
        <v>56</v>
      </c>
      <c r="C911" t="s">
        <v>56</v>
      </c>
      <c r="D911" t="s">
        <v>33</v>
      </c>
      <c r="E911" t="s">
        <v>34</v>
      </c>
      <c r="F911" t="str">
        <f>"0001230"</f>
        <v>0001230</v>
      </c>
      <c r="G911">
        <v>1</v>
      </c>
      <c r="H911" t="str">
        <f>"00000000"</f>
        <v>00000000</v>
      </c>
      <c r="I911" t="s">
        <v>35</v>
      </c>
      <c r="J911"/>
      <c r="K911">
        <v>74.17</v>
      </c>
      <c r="L911">
        <v>0.0</v>
      </c>
      <c r="M911"/>
      <c r="N911"/>
      <c r="O911">
        <v>13.35</v>
      </c>
      <c r="P911">
        <v>0.0</v>
      </c>
      <c r="Q911">
        <v>87.52</v>
      </c>
      <c r="R911"/>
      <c r="S911"/>
      <c r="T911"/>
      <c r="U911"/>
      <c r="V911"/>
      <c r="W911">
        <v>18</v>
      </c>
    </row>
    <row r="912" spans="1:23">
      <c r="A912"/>
      <c r="B912" t="s">
        <v>56</v>
      </c>
      <c r="C912" t="s">
        <v>56</v>
      </c>
      <c r="D912" t="s">
        <v>33</v>
      </c>
      <c r="E912" t="s">
        <v>34</v>
      </c>
      <c r="F912" t="str">
        <f>"0001231"</f>
        <v>0001231</v>
      </c>
      <c r="G912">
        <v>1</v>
      </c>
      <c r="H912" t="str">
        <f>"00000000"</f>
        <v>00000000</v>
      </c>
      <c r="I912" t="s">
        <v>35</v>
      </c>
      <c r="J912"/>
      <c r="K912">
        <v>15.31</v>
      </c>
      <c r="L912">
        <v>0.0</v>
      </c>
      <c r="M912"/>
      <c r="N912"/>
      <c r="O912">
        <v>2.76</v>
      </c>
      <c r="P912">
        <v>0.0</v>
      </c>
      <c r="Q912">
        <v>18.06</v>
      </c>
      <c r="R912"/>
      <c r="S912"/>
      <c r="T912"/>
      <c r="U912"/>
      <c r="V912"/>
      <c r="W912">
        <v>18</v>
      </c>
    </row>
    <row r="913" spans="1:23">
      <c r="A913"/>
      <c r="B913" t="s">
        <v>56</v>
      </c>
      <c r="C913" t="s">
        <v>56</v>
      </c>
      <c r="D913" t="s">
        <v>33</v>
      </c>
      <c r="E913" t="s">
        <v>34</v>
      </c>
      <c r="F913" t="str">
        <f>"0001232"</f>
        <v>0001232</v>
      </c>
      <c r="G913">
        <v>1</v>
      </c>
      <c r="H913" t="str">
        <f>"00000000"</f>
        <v>00000000</v>
      </c>
      <c r="I913" t="s">
        <v>35</v>
      </c>
      <c r="J913"/>
      <c r="K913">
        <v>1.33</v>
      </c>
      <c r="L913">
        <v>0.0</v>
      </c>
      <c r="M913"/>
      <c r="N913"/>
      <c r="O913">
        <v>0.24</v>
      </c>
      <c r="P913">
        <v>0.0</v>
      </c>
      <c r="Q913">
        <v>1.57</v>
      </c>
      <c r="R913"/>
      <c r="S913"/>
      <c r="T913"/>
      <c r="U913"/>
      <c r="V913"/>
      <c r="W913">
        <v>18</v>
      </c>
    </row>
    <row r="914" spans="1:23">
      <c r="A914"/>
      <c r="B914" t="s">
        <v>56</v>
      </c>
      <c r="C914" t="s">
        <v>56</v>
      </c>
      <c r="D914" t="s">
        <v>33</v>
      </c>
      <c r="E914" t="s">
        <v>34</v>
      </c>
      <c r="F914" t="str">
        <f>"0001233"</f>
        <v>0001233</v>
      </c>
      <c r="G914">
        <v>1</v>
      </c>
      <c r="H914" t="str">
        <f>"00000000"</f>
        <v>00000000</v>
      </c>
      <c r="I914" t="s">
        <v>35</v>
      </c>
      <c r="J914"/>
      <c r="K914">
        <v>7.91</v>
      </c>
      <c r="L914">
        <v>0.0</v>
      </c>
      <c r="M914"/>
      <c r="N914"/>
      <c r="O914">
        <v>1.42</v>
      </c>
      <c r="P914">
        <v>0.0</v>
      </c>
      <c r="Q914">
        <v>9.34</v>
      </c>
      <c r="R914"/>
      <c r="S914"/>
      <c r="T914"/>
      <c r="U914"/>
      <c r="V914"/>
      <c r="W914">
        <v>18</v>
      </c>
    </row>
    <row r="915" spans="1:23">
      <c r="A915"/>
      <c r="B915" t="s">
        <v>56</v>
      </c>
      <c r="C915" t="s">
        <v>56</v>
      </c>
      <c r="D915" t="s">
        <v>33</v>
      </c>
      <c r="E915" t="s">
        <v>34</v>
      </c>
      <c r="F915" t="str">
        <f>"0001234"</f>
        <v>0001234</v>
      </c>
      <c r="G915">
        <v>1</v>
      </c>
      <c r="H915" t="str">
        <f>"00000000"</f>
        <v>00000000</v>
      </c>
      <c r="I915" t="s">
        <v>35</v>
      </c>
      <c r="J915"/>
      <c r="K915">
        <v>29.49</v>
      </c>
      <c r="L915">
        <v>0.0</v>
      </c>
      <c r="M915"/>
      <c r="N915"/>
      <c r="O915">
        <v>5.31</v>
      </c>
      <c r="P915">
        <v>0.0</v>
      </c>
      <c r="Q915">
        <v>34.8</v>
      </c>
      <c r="R915"/>
      <c r="S915"/>
      <c r="T915"/>
      <c r="U915"/>
      <c r="V915"/>
      <c r="W915">
        <v>18</v>
      </c>
    </row>
    <row r="916" spans="1:23">
      <c r="A916"/>
      <c r="B916" t="s">
        <v>56</v>
      </c>
      <c r="C916" t="s">
        <v>56</v>
      </c>
      <c r="D916" t="s">
        <v>33</v>
      </c>
      <c r="E916" t="s">
        <v>34</v>
      </c>
      <c r="F916" t="str">
        <f>"0001235"</f>
        <v>0001235</v>
      </c>
      <c r="G916">
        <v>1</v>
      </c>
      <c r="H916" t="str">
        <f>"00000000"</f>
        <v>00000000</v>
      </c>
      <c r="I916" t="s">
        <v>35</v>
      </c>
      <c r="J916"/>
      <c r="K916">
        <v>11.73</v>
      </c>
      <c r="L916">
        <v>0.0</v>
      </c>
      <c r="M916"/>
      <c r="N916"/>
      <c r="O916">
        <v>2.11</v>
      </c>
      <c r="P916">
        <v>0.0</v>
      </c>
      <c r="Q916">
        <v>13.84</v>
      </c>
      <c r="R916"/>
      <c r="S916"/>
      <c r="T916"/>
      <c r="U916"/>
      <c r="V916"/>
      <c r="W916">
        <v>18</v>
      </c>
    </row>
    <row r="917" spans="1:23">
      <c r="A917"/>
      <c r="B917" t="s">
        <v>56</v>
      </c>
      <c r="C917" t="s">
        <v>56</v>
      </c>
      <c r="D917" t="s">
        <v>33</v>
      </c>
      <c r="E917" t="s">
        <v>34</v>
      </c>
      <c r="F917" t="str">
        <f>"0001236"</f>
        <v>0001236</v>
      </c>
      <c r="G917">
        <v>1</v>
      </c>
      <c r="H917" t="str">
        <f>"00000000"</f>
        <v>00000000</v>
      </c>
      <c r="I917" t="s">
        <v>35</v>
      </c>
      <c r="J917"/>
      <c r="K917">
        <v>3.91</v>
      </c>
      <c r="L917">
        <v>0.0</v>
      </c>
      <c r="M917"/>
      <c r="N917"/>
      <c r="O917">
        <v>0.7</v>
      </c>
      <c r="P917">
        <v>0.0</v>
      </c>
      <c r="Q917">
        <v>4.62</v>
      </c>
      <c r="R917"/>
      <c r="S917"/>
      <c r="T917"/>
      <c r="U917"/>
      <c r="V917"/>
      <c r="W917">
        <v>18</v>
      </c>
    </row>
    <row r="918" spans="1:23">
      <c r="A918"/>
      <c r="B918" t="s">
        <v>56</v>
      </c>
      <c r="C918" t="s">
        <v>56</v>
      </c>
      <c r="D918" t="s">
        <v>33</v>
      </c>
      <c r="E918" t="s">
        <v>34</v>
      </c>
      <c r="F918" t="str">
        <f>"0001237"</f>
        <v>0001237</v>
      </c>
      <c r="G918">
        <v>1</v>
      </c>
      <c r="H918" t="str">
        <f>"00000000"</f>
        <v>00000000</v>
      </c>
      <c r="I918" t="s">
        <v>35</v>
      </c>
      <c r="J918"/>
      <c r="K918">
        <v>33.55</v>
      </c>
      <c r="L918">
        <v>0.0</v>
      </c>
      <c r="M918"/>
      <c r="N918"/>
      <c r="O918">
        <v>6.04</v>
      </c>
      <c r="P918">
        <v>0.0</v>
      </c>
      <c r="Q918">
        <v>39.59</v>
      </c>
      <c r="R918"/>
      <c r="S918"/>
      <c r="T918"/>
      <c r="U918"/>
      <c r="V918"/>
      <c r="W918">
        <v>18</v>
      </c>
    </row>
    <row r="919" spans="1:23">
      <c r="A919"/>
      <c r="B919" t="s">
        <v>56</v>
      </c>
      <c r="C919" t="s">
        <v>56</v>
      </c>
      <c r="D919" t="s">
        <v>33</v>
      </c>
      <c r="E919" t="s">
        <v>34</v>
      </c>
      <c r="F919" t="str">
        <f>"0001238"</f>
        <v>0001238</v>
      </c>
      <c r="G919">
        <v>1</v>
      </c>
      <c r="H919" t="str">
        <f>"00000000"</f>
        <v>00000000</v>
      </c>
      <c r="I919" t="s">
        <v>35</v>
      </c>
      <c r="J919"/>
      <c r="K919">
        <v>8.47</v>
      </c>
      <c r="L919">
        <v>0.0</v>
      </c>
      <c r="M919"/>
      <c r="N919"/>
      <c r="O919">
        <v>1.52</v>
      </c>
      <c r="P919">
        <v>0.0</v>
      </c>
      <c r="Q919">
        <v>9.99</v>
      </c>
      <c r="R919"/>
      <c r="S919"/>
      <c r="T919"/>
      <c r="U919"/>
      <c r="V919"/>
      <c r="W919">
        <v>18</v>
      </c>
    </row>
    <row r="920" spans="1:23">
      <c r="A920"/>
      <c r="B920" t="s">
        <v>56</v>
      </c>
      <c r="C920" t="s">
        <v>56</v>
      </c>
      <c r="D920" t="s">
        <v>33</v>
      </c>
      <c r="E920" t="s">
        <v>34</v>
      </c>
      <c r="F920" t="str">
        <f>"0001239"</f>
        <v>0001239</v>
      </c>
      <c r="G920">
        <v>1</v>
      </c>
      <c r="H920" t="str">
        <f>"00000000"</f>
        <v>00000000</v>
      </c>
      <c r="I920" t="s">
        <v>35</v>
      </c>
      <c r="J920"/>
      <c r="K920">
        <v>3.81</v>
      </c>
      <c r="L920">
        <v>0.0</v>
      </c>
      <c r="M920"/>
      <c r="N920"/>
      <c r="O920">
        <v>0.69</v>
      </c>
      <c r="P920">
        <v>0.0</v>
      </c>
      <c r="Q920">
        <v>4.5</v>
      </c>
      <c r="R920"/>
      <c r="S920"/>
      <c r="T920"/>
      <c r="U920"/>
      <c r="V920"/>
      <c r="W920">
        <v>18</v>
      </c>
    </row>
    <row r="921" spans="1:23">
      <c r="A921"/>
      <c r="B921" t="s">
        <v>56</v>
      </c>
      <c r="C921" t="s">
        <v>56</v>
      </c>
      <c r="D921" t="s">
        <v>33</v>
      </c>
      <c r="E921" t="s">
        <v>34</v>
      </c>
      <c r="F921" t="str">
        <f>"0001240"</f>
        <v>0001240</v>
      </c>
      <c r="G921">
        <v>1</v>
      </c>
      <c r="H921" t="str">
        <f>"00000000"</f>
        <v>00000000</v>
      </c>
      <c r="I921" t="s">
        <v>35</v>
      </c>
      <c r="J921"/>
      <c r="K921">
        <v>53.04</v>
      </c>
      <c r="L921">
        <v>0.0</v>
      </c>
      <c r="M921"/>
      <c r="N921"/>
      <c r="O921">
        <v>9.55</v>
      </c>
      <c r="P921">
        <v>0.0</v>
      </c>
      <c r="Q921">
        <v>62.59</v>
      </c>
      <c r="R921"/>
      <c r="S921"/>
      <c r="T921"/>
      <c r="U921"/>
      <c r="V921"/>
      <c r="W921">
        <v>18</v>
      </c>
    </row>
    <row r="922" spans="1:23">
      <c r="A922"/>
      <c r="B922" t="s">
        <v>56</v>
      </c>
      <c r="C922" t="s">
        <v>56</v>
      </c>
      <c r="D922" t="s">
        <v>33</v>
      </c>
      <c r="E922" t="s">
        <v>34</v>
      </c>
      <c r="F922" t="str">
        <f>"0001241"</f>
        <v>0001241</v>
      </c>
      <c r="G922">
        <v>1</v>
      </c>
      <c r="H922" t="str">
        <f>"00000000"</f>
        <v>00000000</v>
      </c>
      <c r="I922" t="s">
        <v>35</v>
      </c>
      <c r="J922"/>
      <c r="K922">
        <v>2.69</v>
      </c>
      <c r="L922">
        <v>0.0</v>
      </c>
      <c r="M922"/>
      <c r="N922"/>
      <c r="O922">
        <v>0.48</v>
      </c>
      <c r="P922">
        <v>0.0</v>
      </c>
      <c r="Q922">
        <v>3.17</v>
      </c>
      <c r="R922"/>
      <c r="S922"/>
      <c r="T922"/>
      <c r="U922"/>
      <c r="V922"/>
      <c r="W922">
        <v>18</v>
      </c>
    </row>
    <row r="923" spans="1:23">
      <c r="A923"/>
      <c r="B923" t="s">
        <v>56</v>
      </c>
      <c r="C923" t="s">
        <v>56</v>
      </c>
      <c r="D923" t="s">
        <v>33</v>
      </c>
      <c r="E923" t="s">
        <v>34</v>
      </c>
      <c r="F923" t="str">
        <f>"0001242"</f>
        <v>0001242</v>
      </c>
      <c r="G923">
        <v>1</v>
      </c>
      <c r="H923" t="str">
        <f>"00000000"</f>
        <v>00000000</v>
      </c>
      <c r="I923" t="s">
        <v>35</v>
      </c>
      <c r="J923"/>
      <c r="K923">
        <v>14.12</v>
      </c>
      <c r="L923">
        <v>0.0</v>
      </c>
      <c r="M923"/>
      <c r="N923"/>
      <c r="O923">
        <v>2.54</v>
      </c>
      <c r="P923">
        <v>0.2</v>
      </c>
      <c r="Q923">
        <v>16.86</v>
      </c>
      <c r="R923"/>
      <c r="S923"/>
      <c r="T923"/>
      <c r="U923"/>
      <c r="V923"/>
      <c r="W923">
        <v>18</v>
      </c>
    </row>
    <row r="924" spans="1:23">
      <c r="A924"/>
      <c r="B924" t="s">
        <v>56</v>
      </c>
      <c r="C924" t="s">
        <v>56</v>
      </c>
      <c r="D924" t="s">
        <v>33</v>
      </c>
      <c r="E924" t="s">
        <v>34</v>
      </c>
      <c r="F924" t="str">
        <f>"0001243"</f>
        <v>0001243</v>
      </c>
      <c r="G924">
        <v>1</v>
      </c>
      <c r="H924" t="str">
        <f>"00000000"</f>
        <v>00000000</v>
      </c>
      <c r="I924" t="s">
        <v>35</v>
      </c>
      <c r="J924"/>
      <c r="K924">
        <v>1.53</v>
      </c>
      <c r="L924">
        <v>0.0</v>
      </c>
      <c r="M924"/>
      <c r="N924"/>
      <c r="O924">
        <v>0.27</v>
      </c>
      <c r="P924">
        <v>0.0</v>
      </c>
      <c r="Q924">
        <v>1.8</v>
      </c>
      <c r="R924"/>
      <c r="S924"/>
      <c r="T924"/>
      <c r="U924"/>
      <c r="V924"/>
      <c r="W924">
        <v>18</v>
      </c>
    </row>
    <row r="925" spans="1:23">
      <c r="A925"/>
      <c r="B925" t="s">
        <v>56</v>
      </c>
      <c r="C925" t="s">
        <v>56</v>
      </c>
      <c r="D925" t="s">
        <v>33</v>
      </c>
      <c r="E925" t="s">
        <v>34</v>
      </c>
      <c r="F925" t="str">
        <f>"0001244"</f>
        <v>0001244</v>
      </c>
      <c r="G925">
        <v>1</v>
      </c>
      <c r="H925" t="str">
        <f>"00000000"</f>
        <v>00000000</v>
      </c>
      <c r="I925" t="s">
        <v>35</v>
      </c>
      <c r="J925"/>
      <c r="K925">
        <v>8.32</v>
      </c>
      <c r="L925">
        <v>0.0</v>
      </c>
      <c r="M925"/>
      <c r="N925"/>
      <c r="O925">
        <v>1.5</v>
      </c>
      <c r="P925">
        <v>0.0</v>
      </c>
      <c r="Q925">
        <v>9.82</v>
      </c>
      <c r="R925"/>
      <c r="S925"/>
      <c r="T925"/>
      <c r="U925"/>
      <c r="V925"/>
      <c r="W925">
        <v>18</v>
      </c>
    </row>
    <row r="926" spans="1:23">
      <c r="A926"/>
      <c r="B926" t="s">
        <v>56</v>
      </c>
      <c r="C926" t="s">
        <v>56</v>
      </c>
      <c r="D926" t="s">
        <v>33</v>
      </c>
      <c r="E926" t="s">
        <v>34</v>
      </c>
      <c r="F926" t="str">
        <f>"0001245"</f>
        <v>0001245</v>
      </c>
      <c r="G926">
        <v>1</v>
      </c>
      <c r="H926" t="str">
        <f>"00000000"</f>
        <v>00000000</v>
      </c>
      <c r="I926" t="s">
        <v>35</v>
      </c>
      <c r="J926"/>
      <c r="K926">
        <v>48.56</v>
      </c>
      <c r="L926">
        <v>0.0</v>
      </c>
      <c r="M926"/>
      <c r="N926"/>
      <c r="O926">
        <v>8.74</v>
      </c>
      <c r="P926">
        <v>0.0</v>
      </c>
      <c r="Q926">
        <v>57.3</v>
      </c>
      <c r="R926"/>
      <c r="S926"/>
      <c r="T926"/>
      <c r="U926"/>
      <c r="V926"/>
      <c r="W926">
        <v>18</v>
      </c>
    </row>
    <row r="927" spans="1:23">
      <c r="A927"/>
      <c r="B927" t="s">
        <v>56</v>
      </c>
      <c r="C927" t="s">
        <v>56</v>
      </c>
      <c r="D927" t="s">
        <v>33</v>
      </c>
      <c r="E927" t="s">
        <v>34</v>
      </c>
      <c r="F927" t="str">
        <f>"0001246"</f>
        <v>0001246</v>
      </c>
      <c r="G927">
        <v>1</v>
      </c>
      <c r="H927" t="str">
        <f>"00000000"</f>
        <v>00000000</v>
      </c>
      <c r="I927" t="s">
        <v>35</v>
      </c>
      <c r="J927"/>
      <c r="K927">
        <v>4.65</v>
      </c>
      <c r="L927">
        <v>0.0</v>
      </c>
      <c r="M927"/>
      <c r="N927"/>
      <c r="O927">
        <v>0.84</v>
      </c>
      <c r="P927">
        <v>0.0</v>
      </c>
      <c r="Q927">
        <v>5.49</v>
      </c>
      <c r="R927"/>
      <c r="S927"/>
      <c r="T927"/>
      <c r="U927"/>
      <c r="V927"/>
      <c r="W927">
        <v>18</v>
      </c>
    </row>
    <row r="928" spans="1:23">
      <c r="A928"/>
      <c r="B928" t="s">
        <v>56</v>
      </c>
      <c r="C928" t="s">
        <v>56</v>
      </c>
      <c r="D928" t="s">
        <v>33</v>
      </c>
      <c r="E928" t="s">
        <v>34</v>
      </c>
      <c r="F928" t="str">
        <f>"0001247"</f>
        <v>0001247</v>
      </c>
      <c r="G928">
        <v>1</v>
      </c>
      <c r="H928" t="str">
        <f>"00000000"</f>
        <v>00000000</v>
      </c>
      <c r="I928" t="s">
        <v>35</v>
      </c>
      <c r="J928"/>
      <c r="K928">
        <v>3.58</v>
      </c>
      <c r="L928">
        <v>0.0</v>
      </c>
      <c r="M928"/>
      <c r="N928"/>
      <c r="O928">
        <v>0.65</v>
      </c>
      <c r="P928">
        <v>0.2</v>
      </c>
      <c r="Q928">
        <v>4.43</v>
      </c>
      <c r="R928"/>
      <c r="S928"/>
      <c r="T928"/>
      <c r="U928"/>
      <c r="V928"/>
      <c r="W928">
        <v>18</v>
      </c>
    </row>
    <row r="929" spans="1:23">
      <c r="A929"/>
      <c r="B929" t="s">
        <v>56</v>
      </c>
      <c r="C929" t="s">
        <v>56</v>
      </c>
      <c r="D929" t="s">
        <v>33</v>
      </c>
      <c r="E929" t="s">
        <v>34</v>
      </c>
      <c r="F929" t="str">
        <f>"0001248"</f>
        <v>0001248</v>
      </c>
      <c r="G929">
        <v>1</v>
      </c>
      <c r="H929" t="str">
        <f>"00000000"</f>
        <v>00000000</v>
      </c>
      <c r="I929" t="s">
        <v>35</v>
      </c>
      <c r="J929"/>
      <c r="K929">
        <v>16.96</v>
      </c>
      <c r="L929">
        <v>0.0</v>
      </c>
      <c r="M929"/>
      <c r="N929"/>
      <c r="O929">
        <v>3.05</v>
      </c>
      <c r="P929">
        <v>0.2</v>
      </c>
      <c r="Q929">
        <v>20.21</v>
      </c>
      <c r="R929"/>
      <c r="S929"/>
      <c r="T929"/>
      <c r="U929"/>
      <c r="V929"/>
      <c r="W929">
        <v>18</v>
      </c>
    </row>
    <row r="930" spans="1:23">
      <c r="A930"/>
      <c r="B930" t="s">
        <v>56</v>
      </c>
      <c r="C930" t="s">
        <v>56</v>
      </c>
      <c r="D930" t="s">
        <v>33</v>
      </c>
      <c r="E930" t="s">
        <v>34</v>
      </c>
      <c r="F930" t="str">
        <f>"0001249"</f>
        <v>0001249</v>
      </c>
      <c r="G930">
        <v>1</v>
      </c>
      <c r="H930" t="str">
        <f>"00000000"</f>
        <v>00000000</v>
      </c>
      <c r="I930" t="s">
        <v>35</v>
      </c>
      <c r="J930"/>
      <c r="K930">
        <v>37.87</v>
      </c>
      <c r="L930">
        <v>0.0</v>
      </c>
      <c r="M930"/>
      <c r="N930"/>
      <c r="O930">
        <v>6.82</v>
      </c>
      <c r="P930">
        <v>0.0</v>
      </c>
      <c r="Q930">
        <v>44.68</v>
      </c>
      <c r="R930"/>
      <c r="S930"/>
      <c r="T930"/>
      <c r="U930"/>
      <c r="V930"/>
      <c r="W930">
        <v>18</v>
      </c>
    </row>
    <row r="931" spans="1:23">
      <c r="A931"/>
      <c r="B931" t="s">
        <v>56</v>
      </c>
      <c r="C931" t="s">
        <v>56</v>
      </c>
      <c r="D931" t="s">
        <v>33</v>
      </c>
      <c r="E931" t="s">
        <v>34</v>
      </c>
      <c r="F931" t="str">
        <f>"0001250"</f>
        <v>0001250</v>
      </c>
      <c r="G931">
        <v>1</v>
      </c>
      <c r="H931" t="str">
        <f>"00000000"</f>
        <v>00000000</v>
      </c>
      <c r="I931" t="s">
        <v>35</v>
      </c>
      <c r="J931"/>
      <c r="K931">
        <v>0.25</v>
      </c>
      <c r="L931">
        <v>0.0</v>
      </c>
      <c r="M931"/>
      <c r="N931"/>
      <c r="O931">
        <v>0.05</v>
      </c>
      <c r="P931">
        <v>0.0</v>
      </c>
      <c r="Q931">
        <v>0.3</v>
      </c>
      <c r="R931"/>
      <c r="S931"/>
      <c r="T931"/>
      <c r="U931"/>
      <c r="V931"/>
      <c r="W931">
        <v>18</v>
      </c>
    </row>
    <row r="932" spans="1:23">
      <c r="A932"/>
      <c r="B932" t="s">
        <v>56</v>
      </c>
      <c r="C932" t="s">
        <v>56</v>
      </c>
      <c r="D932" t="s">
        <v>33</v>
      </c>
      <c r="E932" t="s">
        <v>34</v>
      </c>
      <c r="F932" t="str">
        <f>"0001251"</f>
        <v>0001251</v>
      </c>
      <c r="G932">
        <v>1</v>
      </c>
      <c r="H932" t="str">
        <f>"00000000"</f>
        <v>00000000</v>
      </c>
      <c r="I932" t="s">
        <v>35</v>
      </c>
      <c r="J932"/>
      <c r="K932">
        <v>4.03</v>
      </c>
      <c r="L932">
        <v>0.0</v>
      </c>
      <c r="M932"/>
      <c r="N932"/>
      <c r="O932">
        <v>0.72</v>
      </c>
      <c r="P932">
        <v>0.0</v>
      </c>
      <c r="Q932">
        <v>4.75</v>
      </c>
      <c r="R932"/>
      <c r="S932"/>
      <c r="T932"/>
      <c r="U932"/>
      <c r="V932"/>
      <c r="W932">
        <v>18</v>
      </c>
    </row>
    <row r="933" spans="1:23">
      <c r="A933"/>
      <c r="B933" t="s">
        <v>56</v>
      </c>
      <c r="C933" t="s">
        <v>56</v>
      </c>
      <c r="D933" t="s">
        <v>33</v>
      </c>
      <c r="E933" t="s">
        <v>34</v>
      </c>
      <c r="F933" t="str">
        <f>"0001252"</f>
        <v>0001252</v>
      </c>
      <c r="G933">
        <v>1</v>
      </c>
      <c r="H933" t="str">
        <f>"00000000"</f>
        <v>00000000</v>
      </c>
      <c r="I933" t="s">
        <v>35</v>
      </c>
      <c r="J933"/>
      <c r="K933">
        <v>4.15</v>
      </c>
      <c r="L933">
        <v>0.0</v>
      </c>
      <c r="M933"/>
      <c r="N933"/>
      <c r="O933">
        <v>0.75</v>
      </c>
      <c r="P933">
        <v>0.0</v>
      </c>
      <c r="Q933">
        <v>4.9</v>
      </c>
      <c r="R933"/>
      <c r="S933"/>
      <c r="T933"/>
      <c r="U933"/>
      <c r="V933"/>
      <c r="W933">
        <v>18</v>
      </c>
    </row>
    <row r="934" spans="1:23">
      <c r="A934"/>
      <c r="B934" t="s">
        <v>56</v>
      </c>
      <c r="C934" t="s">
        <v>56</v>
      </c>
      <c r="D934" t="s">
        <v>33</v>
      </c>
      <c r="E934" t="s">
        <v>34</v>
      </c>
      <c r="F934" t="str">
        <f>"0001253"</f>
        <v>0001253</v>
      </c>
      <c r="G934">
        <v>1</v>
      </c>
      <c r="H934" t="str">
        <f>"00000000"</f>
        <v>00000000</v>
      </c>
      <c r="I934" t="s">
        <v>35</v>
      </c>
      <c r="J934"/>
      <c r="K934">
        <v>4.65</v>
      </c>
      <c r="L934">
        <v>0.0</v>
      </c>
      <c r="M934"/>
      <c r="N934"/>
      <c r="O934">
        <v>0.84</v>
      </c>
      <c r="P934">
        <v>0.0</v>
      </c>
      <c r="Q934">
        <v>5.49</v>
      </c>
      <c r="R934"/>
      <c r="S934"/>
      <c r="T934"/>
      <c r="U934"/>
      <c r="V934"/>
      <c r="W934">
        <v>18</v>
      </c>
    </row>
    <row r="935" spans="1:23">
      <c r="A935"/>
      <c r="B935" t="s">
        <v>56</v>
      </c>
      <c r="C935" t="s">
        <v>56</v>
      </c>
      <c r="D935" t="s">
        <v>33</v>
      </c>
      <c r="E935" t="s">
        <v>34</v>
      </c>
      <c r="F935" t="str">
        <f>"0001254"</f>
        <v>0001254</v>
      </c>
      <c r="G935">
        <v>1</v>
      </c>
      <c r="H935" t="str">
        <f>"00000000"</f>
        <v>00000000</v>
      </c>
      <c r="I935" t="s">
        <v>35</v>
      </c>
      <c r="J935"/>
      <c r="K935">
        <v>2.29</v>
      </c>
      <c r="L935">
        <v>0.0</v>
      </c>
      <c r="M935"/>
      <c r="N935"/>
      <c r="O935">
        <v>0.41</v>
      </c>
      <c r="P935">
        <v>0.0</v>
      </c>
      <c r="Q935">
        <v>2.7</v>
      </c>
      <c r="R935"/>
      <c r="S935"/>
      <c r="T935"/>
      <c r="U935"/>
      <c r="V935"/>
      <c r="W935">
        <v>18</v>
      </c>
    </row>
    <row r="936" spans="1:23">
      <c r="A936"/>
      <c r="B936" t="s">
        <v>56</v>
      </c>
      <c r="C936" t="s">
        <v>56</v>
      </c>
      <c r="D936" t="s">
        <v>33</v>
      </c>
      <c r="E936" t="s">
        <v>34</v>
      </c>
      <c r="F936" t="str">
        <f>"0001255"</f>
        <v>0001255</v>
      </c>
      <c r="G936">
        <v>1</v>
      </c>
      <c r="H936" t="str">
        <f>"00000000"</f>
        <v>00000000</v>
      </c>
      <c r="I936" t="s">
        <v>35</v>
      </c>
      <c r="J936"/>
      <c r="K936">
        <v>20.83</v>
      </c>
      <c r="L936">
        <v>0.0</v>
      </c>
      <c r="M936"/>
      <c r="N936"/>
      <c r="O936">
        <v>3.75</v>
      </c>
      <c r="P936">
        <v>0.0</v>
      </c>
      <c r="Q936">
        <v>24.57</v>
      </c>
      <c r="R936"/>
      <c r="S936"/>
      <c r="T936"/>
      <c r="U936"/>
      <c r="V936"/>
      <c r="W936">
        <v>18</v>
      </c>
    </row>
    <row r="937" spans="1:23">
      <c r="A937"/>
      <c r="B937" t="s">
        <v>56</v>
      </c>
      <c r="C937" t="s">
        <v>56</v>
      </c>
      <c r="D937" t="s">
        <v>33</v>
      </c>
      <c r="E937" t="s">
        <v>34</v>
      </c>
      <c r="F937" t="str">
        <f>"0001256"</f>
        <v>0001256</v>
      </c>
      <c r="G937">
        <v>1</v>
      </c>
      <c r="H937" t="str">
        <f>"00000000"</f>
        <v>00000000</v>
      </c>
      <c r="I937" t="s">
        <v>35</v>
      </c>
      <c r="J937"/>
      <c r="K937">
        <v>0.54</v>
      </c>
      <c r="L937">
        <v>0.0</v>
      </c>
      <c r="M937"/>
      <c r="N937"/>
      <c r="O937">
        <v>0.1</v>
      </c>
      <c r="P937">
        <v>0.0</v>
      </c>
      <c r="Q937">
        <v>0.63</v>
      </c>
      <c r="R937"/>
      <c r="S937"/>
      <c r="T937"/>
      <c r="U937"/>
      <c r="V937"/>
      <c r="W937">
        <v>18</v>
      </c>
    </row>
    <row r="938" spans="1:23">
      <c r="A938"/>
      <c r="B938" t="s">
        <v>56</v>
      </c>
      <c r="C938" t="s">
        <v>56</v>
      </c>
      <c r="D938" t="s">
        <v>33</v>
      </c>
      <c r="E938" t="s">
        <v>34</v>
      </c>
      <c r="F938" t="str">
        <f>"0001257"</f>
        <v>0001257</v>
      </c>
      <c r="G938">
        <v>1</v>
      </c>
      <c r="H938" t="str">
        <f>"00000000"</f>
        <v>00000000</v>
      </c>
      <c r="I938" t="s">
        <v>35</v>
      </c>
      <c r="J938"/>
      <c r="K938">
        <v>0.82</v>
      </c>
      <c r="L938">
        <v>0.0</v>
      </c>
      <c r="M938"/>
      <c r="N938"/>
      <c r="O938">
        <v>0.15</v>
      </c>
      <c r="P938">
        <v>0.0</v>
      </c>
      <c r="Q938">
        <v>0.96</v>
      </c>
      <c r="R938"/>
      <c r="S938"/>
      <c r="T938"/>
      <c r="U938"/>
      <c r="V938"/>
      <c r="W938">
        <v>18</v>
      </c>
    </row>
    <row r="939" spans="1:23">
      <c r="A939"/>
      <c r="B939" t="s">
        <v>56</v>
      </c>
      <c r="C939" t="s">
        <v>56</v>
      </c>
      <c r="D939" t="s">
        <v>33</v>
      </c>
      <c r="E939" t="s">
        <v>34</v>
      </c>
      <c r="F939" t="str">
        <f>"0001258"</f>
        <v>0001258</v>
      </c>
      <c r="G939">
        <v>1</v>
      </c>
      <c r="H939" t="str">
        <f>"00000000"</f>
        <v>00000000</v>
      </c>
      <c r="I939" t="s">
        <v>35</v>
      </c>
      <c r="J939"/>
      <c r="K939">
        <v>58.87</v>
      </c>
      <c r="L939">
        <v>0.0</v>
      </c>
      <c r="M939"/>
      <c r="N939"/>
      <c r="O939">
        <v>10.6</v>
      </c>
      <c r="P939">
        <v>0.6</v>
      </c>
      <c r="Q939">
        <v>70.06</v>
      </c>
      <c r="R939"/>
      <c r="S939"/>
      <c r="T939"/>
      <c r="U939"/>
      <c r="V939"/>
      <c r="W939">
        <v>18</v>
      </c>
    </row>
    <row r="940" spans="1:23">
      <c r="A940"/>
      <c r="B940" t="s">
        <v>56</v>
      </c>
      <c r="C940" t="s">
        <v>56</v>
      </c>
      <c r="D940" t="s">
        <v>33</v>
      </c>
      <c r="E940" t="s">
        <v>34</v>
      </c>
      <c r="F940" t="str">
        <f>"0001259"</f>
        <v>0001259</v>
      </c>
      <c r="G940">
        <v>1</v>
      </c>
      <c r="H940" t="str">
        <f>"00000000"</f>
        <v>00000000</v>
      </c>
      <c r="I940" t="s">
        <v>35</v>
      </c>
      <c r="J940"/>
      <c r="K940">
        <v>24.92</v>
      </c>
      <c r="L940">
        <v>0.0</v>
      </c>
      <c r="M940"/>
      <c r="N940"/>
      <c r="O940">
        <v>4.48</v>
      </c>
      <c r="P940">
        <v>0.0</v>
      </c>
      <c r="Q940">
        <v>29.4</v>
      </c>
      <c r="R940"/>
      <c r="S940"/>
      <c r="T940"/>
      <c r="U940"/>
      <c r="V940"/>
      <c r="W940">
        <v>18</v>
      </c>
    </row>
    <row r="941" spans="1:23">
      <c r="A941"/>
      <c r="B941" t="s">
        <v>56</v>
      </c>
      <c r="C941" t="s">
        <v>56</v>
      </c>
      <c r="D941" t="s">
        <v>33</v>
      </c>
      <c r="E941" t="s">
        <v>34</v>
      </c>
      <c r="F941" t="str">
        <f>"0001260"</f>
        <v>0001260</v>
      </c>
      <c r="G941">
        <v>1</v>
      </c>
      <c r="H941" t="str">
        <f>"00000000"</f>
        <v>00000000</v>
      </c>
      <c r="I941" t="s">
        <v>35</v>
      </c>
      <c r="J941"/>
      <c r="K941">
        <v>3.9</v>
      </c>
      <c r="L941">
        <v>0.0</v>
      </c>
      <c r="M941"/>
      <c r="N941"/>
      <c r="O941">
        <v>0.7</v>
      </c>
      <c r="P941">
        <v>0.2</v>
      </c>
      <c r="Q941">
        <v>4.8</v>
      </c>
      <c r="R941"/>
      <c r="S941"/>
      <c r="T941"/>
      <c r="U941"/>
      <c r="V941"/>
      <c r="W941">
        <v>18</v>
      </c>
    </row>
    <row r="942" spans="1:23">
      <c r="A942"/>
      <c r="B942" t="s">
        <v>56</v>
      </c>
      <c r="C942" t="s">
        <v>56</v>
      </c>
      <c r="D942" t="s">
        <v>33</v>
      </c>
      <c r="E942" t="s">
        <v>34</v>
      </c>
      <c r="F942" t="str">
        <f>"0001261"</f>
        <v>0001261</v>
      </c>
      <c r="G942">
        <v>1</v>
      </c>
      <c r="H942" t="str">
        <f>"00000000"</f>
        <v>00000000</v>
      </c>
      <c r="I942" t="s">
        <v>35</v>
      </c>
      <c r="J942"/>
      <c r="K942">
        <v>8.66</v>
      </c>
      <c r="L942">
        <v>0.0</v>
      </c>
      <c r="M942"/>
      <c r="N942"/>
      <c r="O942">
        <v>1.56</v>
      </c>
      <c r="P942">
        <v>0.0</v>
      </c>
      <c r="Q942">
        <v>10.22</v>
      </c>
      <c r="R942"/>
      <c r="S942"/>
      <c r="T942"/>
      <c r="U942"/>
      <c r="V942"/>
      <c r="W942">
        <v>18</v>
      </c>
    </row>
    <row r="943" spans="1:23">
      <c r="A943"/>
      <c r="B943" t="s">
        <v>56</v>
      </c>
      <c r="C943" t="s">
        <v>56</v>
      </c>
      <c r="D943" t="s">
        <v>33</v>
      </c>
      <c r="E943" t="s">
        <v>34</v>
      </c>
      <c r="F943" t="str">
        <f>"0001262"</f>
        <v>0001262</v>
      </c>
      <c r="G943">
        <v>1</v>
      </c>
      <c r="H943" t="str">
        <f>"00000000"</f>
        <v>00000000</v>
      </c>
      <c r="I943" t="s">
        <v>35</v>
      </c>
      <c r="J943"/>
      <c r="K943">
        <v>14.61</v>
      </c>
      <c r="L943">
        <v>0.0</v>
      </c>
      <c r="M943"/>
      <c r="N943"/>
      <c r="O943">
        <v>2.63</v>
      </c>
      <c r="P943">
        <v>0.2</v>
      </c>
      <c r="Q943">
        <v>17.44</v>
      </c>
      <c r="R943"/>
      <c r="S943"/>
      <c r="T943"/>
      <c r="U943"/>
      <c r="V943"/>
      <c r="W943">
        <v>18</v>
      </c>
    </row>
    <row r="944" spans="1:23">
      <c r="A944"/>
      <c r="B944" t="s">
        <v>56</v>
      </c>
      <c r="C944" t="s">
        <v>56</v>
      </c>
      <c r="D944" t="s">
        <v>33</v>
      </c>
      <c r="E944" t="s">
        <v>34</v>
      </c>
      <c r="F944" t="str">
        <f>"0001263"</f>
        <v>0001263</v>
      </c>
      <c r="G944">
        <v>1</v>
      </c>
      <c r="H944" t="str">
        <f>"00000000"</f>
        <v>00000000</v>
      </c>
      <c r="I944" t="s">
        <v>35</v>
      </c>
      <c r="J944"/>
      <c r="K944">
        <v>42.31</v>
      </c>
      <c r="L944">
        <v>0.0</v>
      </c>
      <c r="M944"/>
      <c r="N944"/>
      <c r="O944">
        <v>7.62</v>
      </c>
      <c r="P944">
        <v>0.2</v>
      </c>
      <c r="Q944">
        <v>50.13</v>
      </c>
      <c r="R944"/>
      <c r="S944"/>
      <c r="T944"/>
      <c r="U944"/>
      <c r="V944"/>
      <c r="W944">
        <v>18</v>
      </c>
    </row>
    <row r="945" spans="1:23">
      <c r="A945"/>
      <c r="B945" t="s">
        <v>56</v>
      </c>
      <c r="C945" t="s">
        <v>56</v>
      </c>
      <c r="D945" t="s">
        <v>33</v>
      </c>
      <c r="E945" t="s">
        <v>34</v>
      </c>
      <c r="F945" t="str">
        <f>"0001264"</f>
        <v>0001264</v>
      </c>
      <c r="G945">
        <v>1</v>
      </c>
      <c r="H945" t="str">
        <f>"00000000"</f>
        <v>00000000</v>
      </c>
      <c r="I945" t="s">
        <v>35</v>
      </c>
      <c r="J945"/>
      <c r="K945">
        <v>10.73</v>
      </c>
      <c r="L945">
        <v>0.0</v>
      </c>
      <c r="M945"/>
      <c r="N945"/>
      <c r="O945">
        <v>1.93</v>
      </c>
      <c r="P945">
        <v>0.2</v>
      </c>
      <c r="Q945">
        <v>12.86</v>
      </c>
      <c r="R945"/>
      <c r="S945"/>
      <c r="T945"/>
      <c r="U945"/>
      <c r="V945"/>
      <c r="W945">
        <v>18</v>
      </c>
    </row>
    <row r="946" spans="1:23">
      <c r="A946"/>
      <c r="B946" t="s">
        <v>56</v>
      </c>
      <c r="C946" t="s">
        <v>56</v>
      </c>
      <c r="D946" t="s">
        <v>33</v>
      </c>
      <c r="E946" t="s">
        <v>34</v>
      </c>
      <c r="F946" t="str">
        <f>"0001265"</f>
        <v>0001265</v>
      </c>
      <c r="G946">
        <v>1</v>
      </c>
      <c r="H946" t="str">
        <f>"00000000"</f>
        <v>00000000</v>
      </c>
      <c r="I946" t="s">
        <v>35</v>
      </c>
      <c r="J946"/>
      <c r="K946">
        <v>0.08</v>
      </c>
      <c r="L946">
        <v>0.0</v>
      </c>
      <c r="M946"/>
      <c r="N946"/>
      <c r="O946">
        <v>0.02</v>
      </c>
      <c r="P946">
        <v>0.2</v>
      </c>
      <c r="Q946">
        <v>0.3</v>
      </c>
      <c r="R946"/>
      <c r="S946"/>
      <c r="T946"/>
      <c r="U946"/>
      <c r="V946"/>
      <c r="W946">
        <v>18</v>
      </c>
    </row>
    <row r="947" spans="1:23">
      <c r="A947"/>
      <c r="B947" t="s">
        <v>56</v>
      </c>
      <c r="C947" t="s">
        <v>56</v>
      </c>
      <c r="D947" t="s">
        <v>33</v>
      </c>
      <c r="E947" t="s">
        <v>34</v>
      </c>
      <c r="F947" t="str">
        <f>"0001266"</f>
        <v>0001266</v>
      </c>
      <c r="G947">
        <v>1</v>
      </c>
      <c r="H947" t="str">
        <f>"00000000"</f>
        <v>00000000</v>
      </c>
      <c r="I947" t="s">
        <v>35</v>
      </c>
      <c r="J947"/>
      <c r="K947">
        <v>12.06</v>
      </c>
      <c r="L947">
        <v>0.0</v>
      </c>
      <c r="M947"/>
      <c r="N947"/>
      <c r="O947">
        <v>2.17</v>
      </c>
      <c r="P947">
        <v>0.0</v>
      </c>
      <c r="Q947">
        <v>14.23</v>
      </c>
      <c r="R947"/>
      <c r="S947"/>
      <c r="T947"/>
      <c r="U947"/>
      <c r="V947"/>
      <c r="W947">
        <v>18</v>
      </c>
    </row>
    <row r="948" spans="1:23">
      <c r="A948"/>
      <c r="B948" t="s">
        <v>56</v>
      </c>
      <c r="C948" t="s">
        <v>56</v>
      </c>
      <c r="D948" t="s">
        <v>33</v>
      </c>
      <c r="E948" t="s">
        <v>34</v>
      </c>
      <c r="F948" t="str">
        <f>"0001267"</f>
        <v>0001267</v>
      </c>
      <c r="G948">
        <v>1</v>
      </c>
      <c r="H948" t="str">
        <f>"00000000"</f>
        <v>00000000</v>
      </c>
      <c r="I948" t="s">
        <v>35</v>
      </c>
      <c r="J948"/>
      <c r="K948">
        <v>7.09</v>
      </c>
      <c r="L948">
        <v>0.0</v>
      </c>
      <c r="M948"/>
      <c r="N948"/>
      <c r="O948">
        <v>1.28</v>
      </c>
      <c r="P948">
        <v>0.0</v>
      </c>
      <c r="Q948">
        <v>8.37</v>
      </c>
      <c r="R948"/>
      <c r="S948"/>
      <c r="T948"/>
      <c r="U948"/>
      <c r="V948"/>
      <c r="W948">
        <v>18</v>
      </c>
    </row>
    <row r="949" spans="1:23">
      <c r="A949"/>
      <c r="B949" t="s">
        <v>56</v>
      </c>
      <c r="C949" t="s">
        <v>56</v>
      </c>
      <c r="D949" t="s">
        <v>33</v>
      </c>
      <c r="E949" t="s">
        <v>34</v>
      </c>
      <c r="F949" t="str">
        <f>"0001268"</f>
        <v>0001268</v>
      </c>
      <c r="G949">
        <v>1</v>
      </c>
      <c r="H949" t="str">
        <f>"00000000"</f>
        <v>00000000</v>
      </c>
      <c r="I949" t="s">
        <v>35</v>
      </c>
      <c r="J949"/>
      <c r="K949">
        <v>5.17</v>
      </c>
      <c r="L949">
        <v>0.0</v>
      </c>
      <c r="M949"/>
      <c r="N949"/>
      <c r="O949">
        <v>0.93</v>
      </c>
      <c r="P949">
        <v>0.2</v>
      </c>
      <c r="Q949">
        <v>6.3</v>
      </c>
      <c r="R949"/>
      <c r="S949"/>
      <c r="T949"/>
      <c r="U949"/>
      <c r="V949"/>
      <c r="W949">
        <v>18</v>
      </c>
    </row>
    <row r="950" spans="1:23">
      <c r="A950"/>
      <c r="B950" t="s">
        <v>56</v>
      </c>
      <c r="C950" t="s">
        <v>56</v>
      </c>
      <c r="D950" t="s">
        <v>33</v>
      </c>
      <c r="E950" t="s">
        <v>34</v>
      </c>
      <c r="F950" t="str">
        <f>"0001269"</f>
        <v>0001269</v>
      </c>
      <c r="G950">
        <v>1</v>
      </c>
      <c r="H950" t="str">
        <f>"00000000"</f>
        <v>00000000</v>
      </c>
      <c r="I950" t="s">
        <v>35</v>
      </c>
      <c r="J950"/>
      <c r="K950">
        <v>21.19</v>
      </c>
      <c r="L950">
        <v>0.0</v>
      </c>
      <c r="M950"/>
      <c r="N950"/>
      <c r="O950">
        <v>3.81</v>
      </c>
      <c r="P950">
        <v>0.0</v>
      </c>
      <c r="Q950">
        <v>25.0</v>
      </c>
      <c r="R950"/>
      <c r="S950"/>
      <c r="T950"/>
      <c r="U950"/>
      <c r="V950"/>
      <c r="W950">
        <v>18</v>
      </c>
    </row>
    <row r="951" spans="1:23">
      <c r="A951"/>
      <c r="B951" t="s">
        <v>56</v>
      </c>
      <c r="C951" t="s">
        <v>56</v>
      </c>
      <c r="D951" t="s">
        <v>33</v>
      </c>
      <c r="E951" t="s">
        <v>34</v>
      </c>
      <c r="F951" t="str">
        <f>"0001270"</f>
        <v>0001270</v>
      </c>
      <c r="G951">
        <v>1</v>
      </c>
      <c r="H951" t="str">
        <f>"00000000"</f>
        <v>00000000</v>
      </c>
      <c r="I951" t="s">
        <v>35</v>
      </c>
      <c r="J951"/>
      <c r="K951">
        <v>19.25</v>
      </c>
      <c r="L951">
        <v>0.0</v>
      </c>
      <c r="M951"/>
      <c r="N951"/>
      <c r="O951">
        <v>3.46</v>
      </c>
      <c r="P951">
        <v>0.2</v>
      </c>
      <c r="Q951">
        <v>22.91</v>
      </c>
      <c r="R951"/>
      <c r="S951"/>
      <c r="T951"/>
      <c r="U951"/>
      <c r="V951"/>
      <c r="W951">
        <v>18</v>
      </c>
    </row>
    <row r="952" spans="1:23">
      <c r="A952"/>
      <c r="B952" t="s">
        <v>56</v>
      </c>
      <c r="C952" t="s">
        <v>56</v>
      </c>
      <c r="D952" t="s">
        <v>33</v>
      </c>
      <c r="E952" t="s">
        <v>34</v>
      </c>
      <c r="F952" t="str">
        <f>"0001271"</f>
        <v>0001271</v>
      </c>
      <c r="G952">
        <v>1</v>
      </c>
      <c r="H952" t="str">
        <f>"00000000"</f>
        <v>00000000</v>
      </c>
      <c r="I952" t="s">
        <v>35</v>
      </c>
      <c r="J952"/>
      <c r="K952">
        <v>1.66</v>
      </c>
      <c r="L952">
        <v>0.0</v>
      </c>
      <c r="M952"/>
      <c r="N952"/>
      <c r="O952">
        <v>0.3</v>
      </c>
      <c r="P952">
        <v>0.0</v>
      </c>
      <c r="Q952">
        <v>1.96</v>
      </c>
      <c r="R952"/>
      <c r="S952"/>
      <c r="T952"/>
      <c r="U952"/>
      <c r="V952"/>
      <c r="W952">
        <v>18</v>
      </c>
    </row>
    <row r="953" spans="1:23">
      <c r="A953"/>
      <c r="B953" t="s">
        <v>56</v>
      </c>
      <c r="C953" t="s">
        <v>56</v>
      </c>
      <c r="D953" t="s">
        <v>33</v>
      </c>
      <c r="E953" t="s">
        <v>34</v>
      </c>
      <c r="F953" t="str">
        <f>"0001272"</f>
        <v>0001272</v>
      </c>
      <c r="G953">
        <v>1</v>
      </c>
      <c r="H953" t="str">
        <f>"00000000"</f>
        <v>00000000</v>
      </c>
      <c r="I953" t="s">
        <v>35</v>
      </c>
      <c r="J953"/>
      <c r="K953">
        <v>26.81</v>
      </c>
      <c r="L953">
        <v>0.0</v>
      </c>
      <c r="M953"/>
      <c r="N953"/>
      <c r="O953">
        <v>4.83</v>
      </c>
      <c r="P953">
        <v>0.2</v>
      </c>
      <c r="Q953">
        <v>31.84</v>
      </c>
      <c r="R953"/>
      <c r="S953"/>
      <c r="T953"/>
      <c r="U953"/>
      <c r="V953"/>
      <c r="W953">
        <v>18</v>
      </c>
    </row>
    <row r="954" spans="1:23">
      <c r="A954"/>
      <c r="B954" t="s">
        <v>56</v>
      </c>
      <c r="C954" t="s">
        <v>56</v>
      </c>
      <c r="D954" t="s">
        <v>33</v>
      </c>
      <c r="E954" t="s">
        <v>34</v>
      </c>
      <c r="F954" t="str">
        <f>"0001273"</f>
        <v>0001273</v>
      </c>
      <c r="G954">
        <v>1</v>
      </c>
      <c r="H954" t="str">
        <f>"00000000"</f>
        <v>00000000</v>
      </c>
      <c r="I954" t="s">
        <v>35</v>
      </c>
      <c r="J954"/>
      <c r="K954">
        <v>2.27</v>
      </c>
      <c r="L954">
        <v>0.0</v>
      </c>
      <c r="M954"/>
      <c r="N954"/>
      <c r="O954">
        <v>0.41</v>
      </c>
      <c r="P954">
        <v>0.2</v>
      </c>
      <c r="Q954">
        <v>2.88</v>
      </c>
      <c r="R954"/>
      <c r="S954"/>
      <c r="T954"/>
      <c r="U954"/>
      <c r="V954"/>
      <c r="W954">
        <v>18</v>
      </c>
    </row>
    <row r="955" spans="1:23">
      <c r="A955"/>
      <c r="B955" t="s">
        <v>56</v>
      </c>
      <c r="C955" t="s">
        <v>56</v>
      </c>
      <c r="D955" t="s">
        <v>33</v>
      </c>
      <c r="E955" t="s">
        <v>34</v>
      </c>
      <c r="F955" t="str">
        <f>"0001274"</f>
        <v>0001274</v>
      </c>
      <c r="G955">
        <v>1</v>
      </c>
      <c r="H955" t="str">
        <f>"00000000"</f>
        <v>00000000</v>
      </c>
      <c r="I955" t="s">
        <v>35</v>
      </c>
      <c r="J955"/>
      <c r="K955">
        <v>7.63</v>
      </c>
      <c r="L955">
        <v>0.0</v>
      </c>
      <c r="M955"/>
      <c r="N955"/>
      <c r="O955">
        <v>1.37</v>
      </c>
      <c r="P955">
        <v>0.0</v>
      </c>
      <c r="Q955">
        <v>9.0</v>
      </c>
      <c r="R955"/>
      <c r="S955"/>
      <c r="T955"/>
      <c r="U955"/>
      <c r="V955"/>
      <c r="W955">
        <v>18</v>
      </c>
    </row>
    <row r="956" spans="1:23">
      <c r="A956"/>
      <c r="B956" t="s">
        <v>56</v>
      </c>
      <c r="C956" t="s">
        <v>56</v>
      </c>
      <c r="D956" t="s">
        <v>33</v>
      </c>
      <c r="E956" t="s">
        <v>34</v>
      </c>
      <c r="F956" t="str">
        <f>"0001275"</f>
        <v>0001275</v>
      </c>
      <c r="G956">
        <v>1</v>
      </c>
      <c r="H956" t="str">
        <f>"00000000"</f>
        <v>00000000</v>
      </c>
      <c r="I956" t="s">
        <v>35</v>
      </c>
      <c r="J956"/>
      <c r="K956">
        <v>7.63</v>
      </c>
      <c r="L956">
        <v>0.0</v>
      </c>
      <c r="M956"/>
      <c r="N956"/>
      <c r="O956">
        <v>1.37</v>
      </c>
      <c r="P956">
        <v>0.2</v>
      </c>
      <c r="Q956">
        <v>9.2</v>
      </c>
      <c r="R956"/>
      <c r="S956"/>
      <c r="T956"/>
      <c r="U956"/>
      <c r="V956"/>
      <c r="W956">
        <v>18</v>
      </c>
    </row>
    <row r="957" spans="1:23">
      <c r="A957"/>
      <c r="B957" t="s">
        <v>56</v>
      </c>
      <c r="C957" t="s">
        <v>56</v>
      </c>
      <c r="D957" t="s">
        <v>33</v>
      </c>
      <c r="E957" t="s">
        <v>34</v>
      </c>
      <c r="F957" t="str">
        <f>"0001276"</f>
        <v>0001276</v>
      </c>
      <c r="G957">
        <v>1</v>
      </c>
      <c r="H957" t="str">
        <f>"00000000"</f>
        <v>00000000</v>
      </c>
      <c r="I957" t="s">
        <v>35</v>
      </c>
      <c r="J957"/>
      <c r="K957">
        <v>15.25</v>
      </c>
      <c r="L957">
        <v>0.0</v>
      </c>
      <c r="M957"/>
      <c r="N957"/>
      <c r="O957">
        <v>2.75</v>
      </c>
      <c r="P957">
        <v>0.0</v>
      </c>
      <c r="Q957">
        <v>18.0</v>
      </c>
      <c r="R957"/>
      <c r="S957"/>
      <c r="T957"/>
      <c r="U957"/>
      <c r="V957"/>
      <c r="W957">
        <v>18</v>
      </c>
    </row>
    <row r="958" spans="1:23">
      <c r="A958"/>
      <c r="B958" t="s">
        <v>56</v>
      </c>
      <c r="C958" t="s">
        <v>56</v>
      </c>
      <c r="D958" t="s">
        <v>33</v>
      </c>
      <c r="E958" t="s">
        <v>34</v>
      </c>
      <c r="F958" t="str">
        <f>"0001277"</f>
        <v>0001277</v>
      </c>
      <c r="G958">
        <v>1</v>
      </c>
      <c r="H958" t="str">
        <f>"00000000"</f>
        <v>00000000</v>
      </c>
      <c r="I958" t="s">
        <v>35</v>
      </c>
      <c r="J958"/>
      <c r="K958">
        <v>12.28</v>
      </c>
      <c r="L958">
        <v>0.0</v>
      </c>
      <c r="M958"/>
      <c r="N958"/>
      <c r="O958">
        <v>2.21</v>
      </c>
      <c r="P958">
        <v>0.2</v>
      </c>
      <c r="Q958">
        <v>14.69</v>
      </c>
      <c r="R958"/>
      <c r="S958"/>
      <c r="T958"/>
      <c r="U958"/>
      <c r="V958"/>
      <c r="W958">
        <v>18</v>
      </c>
    </row>
    <row r="959" spans="1:23">
      <c r="A959"/>
      <c r="B959" t="s">
        <v>56</v>
      </c>
      <c r="C959" t="s">
        <v>56</v>
      </c>
      <c r="D959" t="s">
        <v>33</v>
      </c>
      <c r="E959" t="s">
        <v>34</v>
      </c>
      <c r="F959" t="str">
        <f>"0001278"</f>
        <v>0001278</v>
      </c>
      <c r="G959">
        <v>1</v>
      </c>
      <c r="H959" t="str">
        <f>"00000000"</f>
        <v>00000000</v>
      </c>
      <c r="I959" t="s">
        <v>35</v>
      </c>
      <c r="J959"/>
      <c r="K959">
        <v>3.9</v>
      </c>
      <c r="L959">
        <v>0.0</v>
      </c>
      <c r="M959"/>
      <c r="N959"/>
      <c r="O959">
        <v>0.7</v>
      </c>
      <c r="P959">
        <v>0.0</v>
      </c>
      <c r="Q959">
        <v>4.6</v>
      </c>
      <c r="R959"/>
      <c r="S959"/>
      <c r="T959"/>
      <c r="U959"/>
      <c r="V959"/>
      <c r="W959">
        <v>18</v>
      </c>
    </row>
    <row r="960" spans="1:23">
      <c r="A960"/>
      <c r="B960" t="s">
        <v>56</v>
      </c>
      <c r="C960" t="s">
        <v>56</v>
      </c>
      <c r="D960" t="s">
        <v>33</v>
      </c>
      <c r="E960" t="s">
        <v>34</v>
      </c>
      <c r="F960" t="str">
        <f>"0001279"</f>
        <v>0001279</v>
      </c>
      <c r="G960">
        <v>1</v>
      </c>
      <c r="H960" t="str">
        <f>"00000000"</f>
        <v>00000000</v>
      </c>
      <c r="I960" t="s">
        <v>35</v>
      </c>
      <c r="J960"/>
      <c r="K960">
        <v>117.93</v>
      </c>
      <c r="L960">
        <v>0.0</v>
      </c>
      <c r="M960"/>
      <c r="N960"/>
      <c r="O960">
        <v>21.23</v>
      </c>
      <c r="P960">
        <v>0.6</v>
      </c>
      <c r="Q960">
        <v>139.75</v>
      </c>
      <c r="R960"/>
      <c r="S960"/>
      <c r="T960"/>
      <c r="U960"/>
      <c r="V960"/>
      <c r="W960">
        <v>18</v>
      </c>
    </row>
    <row r="961" spans="1:23">
      <c r="A961"/>
      <c r="B961" t="s">
        <v>56</v>
      </c>
      <c r="C961" t="s">
        <v>56</v>
      </c>
      <c r="D961" t="s">
        <v>33</v>
      </c>
      <c r="E961" t="s">
        <v>34</v>
      </c>
      <c r="F961" t="str">
        <f>"0001280"</f>
        <v>0001280</v>
      </c>
      <c r="G961">
        <v>1</v>
      </c>
      <c r="H961" t="str">
        <f>"00000000"</f>
        <v>00000000</v>
      </c>
      <c r="I961" t="s">
        <v>35</v>
      </c>
      <c r="J961"/>
      <c r="K961">
        <v>24.75</v>
      </c>
      <c r="L961">
        <v>0.0</v>
      </c>
      <c r="M961"/>
      <c r="N961"/>
      <c r="O961">
        <v>4.45</v>
      </c>
      <c r="P961">
        <v>0.0</v>
      </c>
      <c r="Q961">
        <v>29.2</v>
      </c>
      <c r="R961"/>
      <c r="S961"/>
      <c r="T961"/>
      <c r="U961"/>
      <c r="V961"/>
      <c r="W961">
        <v>18</v>
      </c>
    </row>
    <row r="962" spans="1:23">
      <c r="A962"/>
      <c r="B962" t="s">
        <v>56</v>
      </c>
      <c r="C962" t="s">
        <v>56</v>
      </c>
      <c r="D962" t="s">
        <v>33</v>
      </c>
      <c r="E962" t="s">
        <v>34</v>
      </c>
      <c r="F962" t="str">
        <f>"0001281"</f>
        <v>0001281</v>
      </c>
      <c r="G962">
        <v>1</v>
      </c>
      <c r="H962" t="str">
        <f>"00000000"</f>
        <v>00000000</v>
      </c>
      <c r="I962" t="s">
        <v>35</v>
      </c>
      <c r="J962"/>
      <c r="K962">
        <v>10.91</v>
      </c>
      <c r="L962">
        <v>0.0</v>
      </c>
      <c r="M962"/>
      <c r="N962"/>
      <c r="O962">
        <v>1.96</v>
      </c>
      <c r="P962">
        <v>0.2</v>
      </c>
      <c r="Q962">
        <v>13.07</v>
      </c>
      <c r="R962"/>
      <c r="S962"/>
      <c r="T962"/>
      <c r="U962"/>
      <c r="V962"/>
      <c r="W962">
        <v>18</v>
      </c>
    </row>
    <row r="963" spans="1:23">
      <c r="A963"/>
      <c r="B963" t="s">
        <v>56</v>
      </c>
      <c r="C963" t="s">
        <v>56</v>
      </c>
      <c r="D963" t="s">
        <v>33</v>
      </c>
      <c r="E963" t="s">
        <v>34</v>
      </c>
      <c r="F963" t="str">
        <f>"0001282"</f>
        <v>0001282</v>
      </c>
      <c r="G963">
        <v>1</v>
      </c>
      <c r="H963" t="str">
        <f>"00000000"</f>
        <v>00000000</v>
      </c>
      <c r="I963" t="s">
        <v>35</v>
      </c>
      <c r="J963"/>
      <c r="K963">
        <v>3.98</v>
      </c>
      <c r="L963">
        <v>0.0</v>
      </c>
      <c r="M963"/>
      <c r="N963"/>
      <c r="O963">
        <v>0.72</v>
      </c>
      <c r="P963">
        <v>0.0</v>
      </c>
      <c r="Q963">
        <v>4.7</v>
      </c>
      <c r="R963"/>
      <c r="S963"/>
      <c r="T963"/>
      <c r="U963"/>
      <c r="V963"/>
      <c r="W963">
        <v>18</v>
      </c>
    </row>
    <row r="964" spans="1:23">
      <c r="A964"/>
      <c r="B964" t="s">
        <v>56</v>
      </c>
      <c r="C964" t="s">
        <v>56</v>
      </c>
      <c r="D964" t="s">
        <v>36</v>
      </c>
      <c r="E964" t="s">
        <v>37</v>
      </c>
      <c r="F964" t="str">
        <f>"0000027"</f>
        <v>0000027</v>
      </c>
      <c r="G964">
        <v>6</v>
      </c>
      <c r="H964" t="str">
        <f>"10167986779"</f>
        <v>10167986779</v>
      </c>
      <c r="I964" t="s">
        <v>55</v>
      </c>
      <c r="J964"/>
      <c r="K964">
        <v>171.95</v>
      </c>
      <c r="L964">
        <v>0.0</v>
      </c>
      <c r="M964"/>
      <c r="N964"/>
      <c r="O964">
        <v>30.95</v>
      </c>
      <c r="P964">
        <v>1.0</v>
      </c>
      <c r="Q964">
        <v>203.9</v>
      </c>
      <c r="R964"/>
      <c r="S964"/>
      <c r="T964"/>
      <c r="U964"/>
      <c r="V964"/>
      <c r="W964">
        <v>18</v>
      </c>
    </row>
    <row r="965" spans="1:23">
      <c r="A965"/>
      <c r="B965" t="s">
        <v>56</v>
      </c>
      <c r="C965" t="s">
        <v>56</v>
      </c>
      <c r="D965" t="s">
        <v>33</v>
      </c>
      <c r="E965" t="s">
        <v>34</v>
      </c>
      <c r="F965" t="str">
        <f>"0001283"</f>
        <v>0001283</v>
      </c>
      <c r="G965">
        <v>1</v>
      </c>
      <c r="H965" t="str">
        <f>"00000000"</f>
        <v>00000000</v>
      </c>
      <c r="I965" t="s">
        <v>35</v>
      </c>
      <c r="J965"/>
      <c r="K965">
        <v>3.07</v>
      </c>
      <c r="L965">
        <v>0.0</v>
      </c>
      <c r="M965"/>
      <c r="N965"/>
      <c r="O965">
        <v>0.55</v>
      </c>
      <c r="P965">
        <v>0.0</v>
      </c>
      <c r="Q965">
        <v>3.63</v>
      </c>
      <c r="R965"/>
      <c r="S965"/>
      <c r="T965"/>
      <c r="U965"/>
      <c r="V965"/>
      <c r="W965">
        <v>18</v>
      </c>
    </row>
    <row r="966" spans="1:23">
      <c r="A966"/>
      <c r="B966" t="s">
        <v>56</v>
      </c>
      <c r="C966" t="s">
        <v>56</v>
      </c>
      <c r="D966" t="s">
        <v>33</v>
      </c>
      <c r="E966" t="s">
        <v>34</v>
      </c>
      <c r="F966" t="str">
        <f>"0001284"</f>
        <v>0001284</v>
      </c>
      <c r="G966">
        <v>1</v>
      </c>
      <c r="H966" t="str">
        <f>"00000000"</f>
        <v>00000000</v>
      </c>
      <c r="I966" t="s">
        <v>35</v>
      </c>
      <c r="J966"/>
      <c r="K966">
        <v>3.47</v>
      </c>
      <c r="L966">
        <v>0.0</v>
      </c>
      <c r="M966"/>
      <c r="N966"/>
      <c r="O966">
        <v>0.63</v>
      </c>
      <c r="P966">
        <v>0.2</v>
      </c>
      <c r="Q966">
        <v>4.3</v>
      </c>
      <c r="R966"/>
      <c r="S966"/>
      <c r="T966"/>
      <c r="U966"/>
      <c r="V966"/>
      <c r="W966">
        <v>18</v>
      </c>
    </row>
    <row r="967" spans="1:23">
      <c r="A967"/>
      <c r="B967" t="s">
        <v>56</v>
      </c>
      <c r="C967" t="s">
        <v>56</v>
      </c>
      <c r="D967" t="s">
        <v>33</v>
      </c>
      <c r="E967" t="s">
        <v>34</v>
      </c>
      <c r="F967" t="str">
        <f>"0001285"</f>
        <v>0001285</v>
      </c>
      <c r="G967">
        <v>1</v>
      </c>
      <c r="H967" t="str">
        <f>"00000000"</f>
        <v>00000000</v>
      </c>
      <c r="I967" t="s">
        <v>35</v>
      </c>
      <c r="J967"/>
      <c r="K967">
        <v>4.6</v>
      </c>
      <c r="L967">
        <v>0.0</v>
      </c>
      <c r="M967"/>
      <c r="N967"/>
      <c r="O967">
        <v>0.83</v>
      </c>
      <c r="P967">
        <v>0.0</v>
      </c>
      <c r="Q967">
        <v>5.42</v>
      </c>
      <c r="R967"/>
      <c r="S967"/>
      <c r="T967"/>
      <c r="U967"/>
      <c r="V967"/>
      <c r="W967">
        <v>18</v>
      </c>
    </row>
    <row r="968" spans="1:23">
      <c r="A968"/>
      <c r="B968" t="s">
        <v>56</v>
      </c>
      <c r="C968" t="s">
        <v>56</v>
      </c>
      <c r="D968" t="s">
        <v>33</v>
      </c>
      <c r="E968" t="s">
        <v>34</v>
      </c>
      <c r="F968" t="str">
        <f>"0001286"</f>
        <v>0001286</v>
      </c>
      <c r="G968">
        <v>1</v>
      </c>
      <c r="H968" t="str">
        <f>"00000000"</f>
        <v>00000000</v>
      </c>
      <c r="I968" t="s">
        <v>35</v>
      </c>
      <c r="J968"/>
      <c r="K968">
        <v>14.96</v>
      </c>
      <c r="L968">
        <v>0.0</v>
      </c>
      <c r="M968"/>
      <c r="N968"/>
      <c r="O968">
        <v>2.69</v>
      </c>
      <c r="P968">
        <v>0.2</v>
      </c>
      <c r="Q968">
        <v>17.85</v>
      </c>
      <c r="R968"/>
      <c r="S968"/>
      <c r="T968"/>
      <c r="U968"/>
      <c r="V968"/>
      <c r="W968">
        <v>18</v>
      </c>
    </row>
    <row r="969" spans="1:23">
      <c r="A969"/>
      <c r="B969" t="s">
        <v>56</v>
      </c>
      <c r="C969" t="s">
        <v>56</v>
      </c>
      <c r="D969" t="s">
        <v>33</v>
      </c>
      <c r="E969" t="s">
        <v>34</v>
      </c>
      <c r="F969" t="str">
        <f>"0001287"</f>
        <v>0001287</v>
      </c>
      <c r="G969">
        <v>1</v>
      </c>
      <c r="H969" t="str">
        <f>"00000000"</f>
        <v>00000000</v>
      </c>
      <c r="I969" t="s">
        <v>35</v>
      </c>
      <c r="J969"/>
      <c r="K969">
        <v>1.69</v>
      </c>
      <c r="L969">
        <v>0.0</v>
      </c>
      <c r="M969"/>
      <c r="N969"/>
      <c r="O969">
        <v>0.31</v>
      </c>
      <c r="P969">
        <v>0.0</v>
      </c>
      <c r="Q969">
        <v>2.0</v>
      </c>
      <c r="R969"/>
      <c r="S969"/>
      <c r="T969"/>
      <c r="U969"/>
      <c r="V969"/>
      <c r="W969">
        <v>18</v>
      </c>
    </row>
    <row r="970" spans="1:23">
      <c r="A970"/>
      <c r="B970" t="s">
        <v>56</v>
      </c>
      <c r="C970" t="s">
        <v>56</v>
      </c>
      <c r="D970" t="s">
        <v>33</v>
      </c>
      <c r="E970" t="s">
        <v>34</v>
      </c>
      <c r="F970" t="str">
        <f>"0001288"</f>
        <v>0001288</v>
      </c>
      <c r="G970">
        <v>1</v>
      </c>
      <c r="H970" t="str">
        <f>"00000000"</f>
        <v>00000000</v>
      </c>
      <c r="I970" t="s">
        <v>35</v>
      </c>
      <c r="J970"/>
      <c r="K970">
        <v>5.0</v>
      </c>
      <c r="L970">
        <v>0.0</v>
      </c>
      <c r="M970"/>
      <c r="N970"/>
      <c r="O970">
        <v>0.9</v>
      </c>
      <c r="P970">
        <v>0.0</v>
      </c>
      <c r="Q970">
        <v>5.9</v>
      </c>
      <c r="R970"/>
      <c r="S970"/>
      <c r="T970"/>
      <c r="U970"/>
      <c r="V970"/>
      <c r="W970">
        <v>18</v>
      </c>
    </row>
    <row r="971" spans="1:23">
      <c r="A971"/>
      <c r="B971" t="s">
        <v>56</v>
      </c>
      <c r="C971" t="s">
        <v>56</v>
      </c>
      <c r="D971" t="s">
        <v>33</v>
      </c>
      <c r="E971" t="s">
        <v>34</v>
      </c>
      <c r="F971" t="str">
        <f>"0001289"</f>
        <v>0001289</v>
      </c>
      <c r="G971">
        <v>1</v>
      </c>
      <c r="H971" t="str">
        <f>"00000000"</f>
        <v>00000000</v>
      </c>
      <c r="I971" t="s">
        <v>35</v>
      </c>
      <c r="J971"/>
      <c r="K971">
        <v>15.68</v>
      </c>
      <c r="L971">
        <v>0.0</v>
      </c>
      <c r="M971"/>
      <c r="N971"/>
      <c r="O971">
        <v>2.82</v>
      </c>
      <c r="P971">
        <v>0.0</v>
      </c>
      <c r="Q971">
        <v>18.5</v>
      </c>
      <c r="R971"/>
      <c r="S971"/>
      <c r="T971"/>
      <c r="U971"/>
      <c r="V971"/>
      <c r="W971">
        <v>18</v>
      </c>
    </row>
    <row r="972" spans="1:23">
      <c r="A972"/>
      <c r="B972" t="s">
        <v>56</v>
      </c>
      <c r="C972" t="s">
        <v>56</v>
      </c>
      <c r="D972" t="s">
        <v>33</v>
      </c>
      <c r="E972" t="s">
        <v>34</v>
      </c>
      <c r="F972" t="str">
        <f>"0001290"</f>
        <v>0001290</v>
      </c>
      <c r="G972">
        <v>1</v>
      </c>
      <c r="H972" t="str">
        <f>"00000000"</f>
        <v>00000000</v>
      </c>
      <c r="I972" t="s">
        <v>35</v>
      </c>
      <c r="J972"/>
      <c r="K972">
        <v>5.38</v>
      </c>
      <c r="L972">
        <v>0.0</v>
      </c>
      <c r="M972"/>
      <c r="N972"/>
      <c r="O972">
        <v>0.97</v>
      </c>
      <c r="P972">
        <v>0.2</v>
      </c>
      <c r="Q972">
        <v>6.55</v>
      </c>
      <c r="R972"/>
      <c r="S972"/>
      <c r="T972"/>
      <c r="U972"/>
      <c r="V972"/>
      <c r="W972">
        <v>18</v>
      </c>
    </row>
    <row r="973" spans="1:23">
      <c r="A973"/>
      <c r="B973" t="s">
        <v>56</v>
      </c>
      <c r="C973" t="s">
        <v>56</v>
      </c>
      <c r="D973" t="s">
        <v>33</v>
      </c>
      <c r="E973" t="s">
        <v>34</v>
      </c>
      <c r="F973" t="str">
        <f>"0001291"</f>
        <v>0001291</v>
      </c>
      <c r="G973">
        <v>1</v>
      </c>
      <c r="H973" t="str">
        <f>"00000000"</f>
        <v>00000000</v>
      </c>
      <c r="I973" t="s">
        <v>35</v>
      </c>
      <c r="J973"/>
      <c r="K973">
        <v>34.31</v>
      </c>
      <c r="L973">
        <v>0.0</v>
      </c>
      <c r="M973"/>
      <c r="N973"/>
      <c r="O973">
        <v>6.18</v>
      </c>
      <c r="P973">
        <v>0.2</v>
      </c>
      <c r="Q973">
        <v>40.69</v>
      </c>
      <c r="R973"/>
      <c r="S973"/>
      <c r="T973"/>
      <c r="U973"/>
      <c r="V973"/>
      <c r="W973">
        <v>18</v>
      </c>
    </row>
    <row r="974" spans="1:23">
      <c r="A974"/>
      <c r="B974" t="s">
        <v>56</v>
      </c>
      <c r="C974" t="s">
        <v>56</v>
      </c>
      <c r="D974" t="s">
        <v>33</v>
      </c>
      <c r="E974" t="s">
        <v>34</v>
      </c>
      <c r="F974" t="str">
        <f>"0001292"</f>
        <v>0001292</v>
      </c>
      <c r="G974">
        <v>1</v>
      </c>
      <c r="H974" t="str">
        <f>"00000000"</f>
        <v>00000000</v>
      </c>
      <c r="I974" t="s">
        <v>35</v>
      </c>
      <c r="J974"/>
      <c r="K974">
        <v>3.2</v>
      </c>
      <c r="L974">
        <v>0.0</v>
      </c>
      <c r="M974"/>
      <c r="N974"/>
      <c r="O974">
        <v>0.58</v>
      </c>
      <c r="P974">
        <v>0.0</v>
      </c>
      <c r="Q974">
        <v>3.78</v>
      </c>
      <c r="R974"/>
      <c r="S974"/>
      <c r="T974"/>
      <c r="U974"/>
      <c r="V974"/>
      <c r="W974">
        <v>18</v>
      </c>
    </row>
    <row r="975" spans="1:23">
      <c r="A975"/>
      <c r="B975" t="s">
        <v>56</v>
      </c>
      <c r="C975" t="s">
        <v>56</v>
      </c>
      <c r="D975" t="s">
        <v>33</v>
      </c>
      <c r="E975" t="s">
        <v>34</v>
      </c>
      <c r="F975" t="str">
        <f>"0001293"</f>
        <v>0001293</v>
      </c>
      <c r="G975">
        <v>1</v>
      </c>
      <c r="H975" t="str">
        <f>"00000000"</f>
        <v>00000000</v>
      </c>
      <c r="I975" t="s">
        <v>35</v>
      </c>
      <c r="J975"/>
      <c r="K975">
        <v>53.54</v>
      </c>
      <c r="L975">
        <v>0.0</v>
      </c>
      <c r="M975"/>
      <c r="N975"/>
      <c r="O975">
        <v>9.64</v>
      </c>
      <c r="P975">
        <v>0.0</v>
      </c>
      <c r="Q975">
        <v>63.18</v>
      </c>
      <c r="R975"/>
      <c r="S975"/>
      <c r="T975"/>
      <c r="U975"/>
      <c r="V975"/>
      <c r="W975">
        <v>18</v>
      </c>
    </row>
    <row r="976" spans="1:23">
      <c r="A976"/>
      <c r="B976" t="s">
        <v>56</v>
      </c>
      <c r="C976" t="s">
        <v>56</v>
      </c>
      <c r="D976" t="s">
        <v>33</v>
      </c>
      <c r="E976" t="s">
        <v>34</v>
      </c>
      <c r="F976" t="str">
        <f>"0001294"</f>
        <v>0001294</v>
      </c>
      <c r="G976">
        <v>1</v>
      </c>
      <c r="H976" t="str">
        <f>"00000000"</f>
        <v>00000000</v>
      </c>
      <c r="I976" t="s">
        <v>35</v>
      </c>
      <c r="J976"/>
      <c r="K976">
        <v>20.69</v>
      </c>
      <c r="L976">
        <v>0.0</v>
      </c>
      <c r="M976"/>
      <c r="N976"/>
      <c r="O976">
        <v>3.72</v>
      </c>
      <c r="P976">
        <v>0.2</v>
      </c>
      <c r="Q976">
        <v>24.61</v>
      </c>
      <c r="R976"/>
      <c r="S976"/>
      <c r="T976"/>
      <c r="U976"/>
      <c r="V976"/>
      <c r="W976">
        <v>18</v>
      </c>
    </row>
    <row r="977" spans="1:23">
      <c r="A977"/>
      <c r="B977" t="s">
        <v>56</v>
      </c>
      <c r="C977" t="s">
        <v>56</v>
      </c>
      <c r="D977" t="s">
        <v>33</v>
      </c>
      <c r="E977" t="s">
        <v>34</v>
      </c>
      <c r="F977" t="str">
        <f>"0001295"</f>
        <v>0001295</v>
      </c>
      <c r="G977">
        <v>1</v>
      </c>
      <c r="H977" t="str">
        <f>"00000000"</f>
        <v>00000000</v>
      </c>
      <c r="I977" t="s">
        <v>35</v>
      </c>
      <c r="J977"/>
      <c r="K977">
        <v>13.09</v>
      </c>
      <c r="L977">
        <v>0.0</v>
      </c>
      <c r="M977"/>
      <c r="N977"/>
      <c r="O977">
        <v>2.36</v>
      </c>
      <c r="P977">
        <v>0.0</v>
      </c>
      <c r="Q977">
        <v>15.45</v>
      </c>
      <c r="R977"/>
      <c r="S977"/>
      <c r="T977"/>
      <c r="U977"/>
      <c r="V977"/>
      <c r="W977">
        <v>18</v>
      </c>
    </row>
    <row r="978" spans="1:23">
      <c r="A978"/>
      <c r="B978" t="s">
        <v>56</v>
      </c>
      <c r="C978" t="s">
        <v>56</v>
      </c>
      <c r="D978" t="s">
        <v>33</v>
      </c>
      <c r="E978" t="s">
        <v>34</v>
      </c>
      <c r="F978" t="str">
        <f>"0001296"</f>
        <v>0001296</v>
      </c>
      <c r="G978">
        <v>1</v>
      </c>
      <c r="H978" t="str">
        <f>"00000000"</f>
        <v>00000000</v>
      </c>
      <c r="I978" t="s">
        <v>35</v>
      </c>
      <c r="J978"/>
      <c r="K978">
        <v>0.04</v>
      </c>
      <c r="L978">
        <v>0.0</v>
      </c>
      <c r="M978"/>
      <c r="N978"/>
      <c r="O978">
        <v>0.01</v>
      </c>
      <c r="P978">
        <v>0.2</v>
      </c>
      <c r="Q978">
        <v>0.25</v>
      </c>
      <c r="R978"/>
      <c r="S978"/>
      <c r="T978"/>
      <c r="U978"/>
      <c r="V978"/>
      <c r="W978">
        <v>18</v>
      </c>
    </row>
    <row r="979" spans="1:23">
      <c r="A979"/>
      <c r="B979" t="s">
        <v>56</v>
      </c>
      <c r="C979" t="s">
        <v>56</v>
      </c>
      <c r="D979" t="s">
        <v>33</v>
      </c>
      <c r="E979" t="s">
        <v>34</v>
      </c>
      <c r="F979" t="str">
        <f>"0001297"</f>
        <v>0001297</v>
      </c>
      <c r="G979">
        <v>1</v>
      </c>
      <c r="H979" t="str">
        <f>"00000000"</f>
        <v>00000000</v>
      </c>
      <c r="I979" t="s">
        <v>35</v>
      </c>
      <c r="J979"/>
      <c r="K979">
        <v>1.02</v>
      </c>
      <c r="L979">
        <v>0.0</v>
      </c>
      <c r="M979"/>
      <c r="N979"/>
      <c r="O979">
        <v>0.18</v>
      </c>
      <c r="P979">
        <v>0.0</v>
      </c>
      <c r="Q979">
        <v>1.2</v>
      </c>
      <c r="R979"/>
      <c r="S979"/>
      <c r="T979"/>
      <c r="U979"/>
      <c r="V979"/>
      <c r="W979">
        <v>18</v>
      </c>
    </row>
    <row r="980" spans="1:23">
      <c r="A980"/>
      <c r="B980" t="s">
        <v>56</v>
      </c>
      <c r="C980" t="s">
        <v>56</v>
      </c>
      <c r="D980" t="s">
        <v>33</v>
      </c>
      <c r="E980" t="s">
        <v>34</v>
      </c>
      <c r="F980" t="str">
        <f>"0001298"</f>
        <v>0001298</v>
      </c>
      <c r="G980">
        <v>1</v>
      </c>
      <c r="H980" t="str">
        <f>"00000000"</f>
        <v>00000000</v>
      </c>
      <c r="I980" t="s">
        <v>35</v>
      </c>
      <c r="J980"/>
      <c r="K980">
        <v>7.63</v>
      </c>
      <c r="L980">
        <v>0.0</v>
      </c>
      <c r="M980"/>
      <c r="N980"/>
      <c r="O980">
        <v>1.37</v>
      </c>
      <c r="P980">
        <v>0.0</v>
      </c>
      <c r="Q980">
        <v>9.0</v>
      </c>
      <c r="R980"/>
      <c r="S980"/>
      <c r="T980"/>
      <c r="U980"/>
      <c r="V980"/>
      <c r="W980">
        <v>18</v>
      </c>
    </row>
    <row r="981" spans="1:23">
      <c r="A981"/>
      <c r="B981" t="s">
        <v>56</v>
      </c>
      <c r="C981" t="s">
        <v>56</v>
      </c>
      <c r="D981" t="s">
        <v>33</v>
      </c>
      <c r="E981" t="s">
        <v>34</v>
      </c>
      <c r="F981" t="str">
        <f>"0001299"</f>
        <v>0001299</v>
      </c>
      <c r="G981">
        <v>1</v>
      </c>
      <c r="H981" t="str">
        <f>"00000000"</f>
        <v>00000000</v>
      </c>
      <c r="I981" t="s">
        <v>35</v>
      </c>
      <c r="J981"/>
      <c r="K981">
        <v>3.9</v>
      </c>
      <c r="L981">
        <v>0.0</v>
      </c>
      <c r="M981"/>
      <c r="N981"/>
      <c r="O981">
        <v>0.7</v>
      </c>
      <c r="P981">
        <v>0.0</v>
      </c>
      <c r="Q981">
        <v>4.6</v>
      </c>
      <c r="R981"/>
      <c r="S981"/>
      <c r="T981"/>
      <c r="U981"/>
      <c r="V981"/>
      <c r="W981">
        <v>18</v>
      </c>
    </row>
    <row r="982" spans="1:23">
      <c r="A982"/>
      <c r="B982" t="s">
        <v>56</v>
      </c>
      <c r="C982" t="s">
        <v>56</v>
      </c>
      <c r="D982" t="s">
        <v>33</v>
      </c>
      <c r="E982" t="s">
        <v>34</v>
      </c>
      <c r="F982" t="str">
        <f>"0001300"</f>
        <v>0001300</v>
      </c>
      <c r="G982">
        <v>1</v>
      </c>
      <c r="H982" t="str">
        <f>"00000000"</f>
        <v>00000000</v>
      </c>
      <c r="I982" t="s">
        <v>35</v>
      </c>
      <c r="J982"/>
      <c r="K982">
        <v>3.18</v>
      </c>
      <c r="L982">
        <v>0.0</v>
      </c>
      <c r="M982"/>
      <c r="N982"/>
      <c r="O982">
        <v>0.57</v>
      </c>
      <c r="P982">
        <v>0.0</v>
      </c>
      <c r="Q982">
        <v>3.75</v>
      </c>
      <c r="R982"/>
      <c r="S982"/>
      <c r="T982"/>
      <c r="U982"/>
      <c r="V982"/>
      <c r="W982">
        <v>18</v>
      </c>
    </row>
    <row r="983" spans="1:23">
      <c r="A983"/>
      <c r="B983" t="s">
        <v>56</v>
      </c>
      <c r="C983" t="s">
        <v>56</v>
      </c>
      <c r="D983" t="s">
        <v>33</v>
      </c>
      <c r="E983" t="s">
        <v>34</v>
      </c>
      <c r="F983" t="str">
        <f>"0001301"</f>
        <v>0001301</v>
      </c>
      <c r="G983">
        <v>1</v>
      </c>
      <c r="H983" t="str">
        <f>"00000000"</f>
        <v>00000000</v>
      </c>
      <c r="I983" t="s">
        <v>35</v>
      </c>
      <c r="J983"/>
      <c r="K983">
        <v>2.97</v>
      </c>
      <c r="L983">
        <v>0.0</v>
      </c>
      <c r="M983"/>
      <c r="N983"/>
      <c r="O983">
        <v>0.53</v>
      </c>
      <c r="P983">
        <v>0.0</v>
      </c>
      <c r="Q983">
        <v>3.5</v>
      </c>
      <c r="R983"/>
      <c r="S983"/>
      <c r="T983"/>
      <c r="U983"/>
      <c r="V983"/>
      <c r="W983">
        <v>18</v>
      </c>
    </row>
    <row r="984" spans="1:23">
      <c r="A984"/>
      <c r="B984" t="s">
        <v>56</v>
      </c>
      <c r="C984" t="s">
        <v>56</v>
      </c>
      <c r="D984" t="s">
        <v>33</v>
      </c>
      <c r="E984" t="s">
        <v>34</v>
      </c>
      <c r="F984" t="str">
        <f>"0001302"</f>
        <v>0001302</v>
      </c>
      <c r="G984">
        <v>1</v>
      </c>
      <c r="H984" t="str">
        <f>"00000000"</f>
        <v>00000000</v>
      </c>
      <c r="I984" t="s">
        <v>35</v>
      </c>
      <c r="J984"/>
      <c r="K984">
        <v>1.27</v>
      </c>
      <c r="L984">
        <v>0.0</v>
      </c>
      <c r="M984"/>
      <c r="N984"/>
      <c r="O984">
        <v>0.23</v>
      </c>
      <c r="P984">
        <v>0.0</v>
      </c>
      <c r="Q984">
        <v>1.5</v>
      </c>
      <c r="R984"/>
      <c r="S984"/>
      <c r="T984"/>
      <c r="U984"/>
      <c r="V984"/>
      <c r="W984">
        <v>18</v>
      </c>
    </row>
    <row r="985" spans="1:23">
      <c r="A985"/>
      <c r="B985" t="s">
        <v>56</v>
      </c>
      <c r="C985" t="s">
        <v>56</v>
      </c>
      <c r="D985" t="s">
        <v>33</v>
      </c>
      <c r="E985" t="s">
        <v>34</v>
      </c>
      <c r="F985" t="str">
        <f>"0001303"</f>
        <v>0001303</v>
      </c>
      <c r="G985">
        <v>1</v>
      </c>
      <c r="H985" t="str">
        <f>"00000000"</f>
        <v>00000000</v>
      </c>
      <c r="I985" t="s">
        <v>35</v>
      </c>
      <c r="J985"/>
      <c r="K985">
        <v>18.31</v>
      </c>
      <c r="L985">
        <v>0.0</v>
      </c>
      <c r="M985"/>
      <c r="N985"/>
      <c r="O985">
        <v>3.29</v>
      </c>
      <c r="P985">
        <v>0.2</v>
      </c>
      <c r="Q985">
        <v>21.8</v>
      </c>
      <c r="R985"/>
      <c r="S985"/>
      <c r="T985"/>
      <c r="U985"/>
      <c r="V985"/>
      <c r="W985">
        <v>18</v>
      </c>
    </row>
    <row r="986" spans="1:23">
      <c r="A986"/>
      <c r="B986" t="s">
        <v>56</v>
      </c>
      <c r="C986" t="s">
        <v>56</v>
      </c>
      <c r="D986" t="s">
        <v>33</v>
      </c>
      <c r="E986" t="s">
        <v>34</v>
      </c>
      <c r="F986" t="str">
        <f>"0001304"</f>
        <v>0001304</v>
      </c>
      <c r="G986">
        <v>1</v>
      </c>
      <c r="H986" t="str">
        <f>"00000000"</f>
        <v>00000000</v>
      </c>
      <c r="I986" t="s">
        <v>35</v>
      </c>
      <c r="J986"/>
      <c r="K986">
        <v>9.32</v>
      </c>
      <c r="L986">
        <v>0.0</v>
      </c>
      <c r="M986"/>
      <c r="N986"/>
      <c r="O986">
        <v>1.68</v>
      </c>
      <c r="P986">
        <v>0.0</v>
      </c>
      <c r="Q986">
        <v>11.0</v>
      </c>
      <c r="R986"/>
      <c r="S986"/>
      <c r="T986"/>
      <c r="U986"/>
      <c r="V986"/>
      <c r="W986">
        <v>18</v>
      </c>
    </row>
    <row r="987" spans="1:23">
      <c r="A987"/>
      <c r="B987" t="s">
        <v>56</v>
      </c>
      <c r="C987" t="s">
        <v>56</v>
      </c>
      <c r="D987" t="s">
        <v>33</v>
      </c>
      <c r="E987" t="s">
        <v>34</v>
      </c>
      <c r="F987" t="str">
        <f>"0001305"</f>
        <v>0001305</v>
      </c>
      <c r="G987">
        <v>1</v>
      </c>
      <c r="H987" t="str">
        <f>"00000000"</f>
        <v>00000000</v>
      </c>
      <c r="I987" t="s">
        <v>35</v>
      </c>
      <c r="J987"/>
      <c r="K987">
        <v>0.08</v>
      </c>
      <c r="L987">
        <v>0.0</v>
      </c>
      <c r="M987"/>
      <c r="N987"/>
      <c r="O987">
        <v>0.02</v>
      </c>
      <c r="P987">
        <v>0.2</v>
      </c>
      <c r="Q987">
        <v>0.3</v>
      </c>
      <c r="R987"/>
      <c r="S987"/>
      <c r="T987"/>
      <c r="U987"/>
      <c r="V987"/>
      <c r="W987">
        <v>18</v>
      </c>
    </row>
    <row r="988" spans="1:23">
      <c r="A988"/>
      <c r="B988" t="s">
        <v>56</v>
      </c>
      <c r="C988" t="s">
        <v>56</v>
      </c>
      <c r="D988" t="s">
        <v>33</v>
      </c>
      <c r="E988" t="s">
        <v>34</v>
      </c>
      <c r="F988" t="str">
        <f>"0001306"</f>
        <v>0001306</v>
      </c>
      <c r="G988">
        <v>1</v>
      </c>
      <c r="H988" t="str">
        <f>"00000000"</f>
        <v>00000000</v>
      </c>
      <c r="I988" t="s">
        <v>35</v>
      </c>
      <c r="J988"/>
      <c r="K988">
        <v>28.31</v>
      </c>
      <c r="L988">
        <v>0.0</v>
      </c>
      <c r="M988"/>
      <c r="N988"/>
      <c r="O988">
        <v>5.09</v>
      </c>
      <c r="P988">
        <v>0.2</v>
      </c>
      <c r="Q988">
        <v>33.6</v>
      </c>
      <c r="R988"/>
      <c r="S988"/>
      <c r="T988"/>
      <c r="U988"/>
      <c r="V988"/>
      <c r="W988">
        <v>18</v>
      </c>
    </row>
    <row r="989" spans="1:23">
      <c r="A989"/>
      <c r="B989" t="s">
        <v>56</v>
      </c>
      <c r="C989" t="s">
        <v>56</v>
      </c>
      <c r="D989" t="s">
        <v>33</v>
      </c>
      <c r="E989" t="s">
        <v>34</v>
      </c>
      <c r="F989" t="str">
        <f>"0001307"</f>
        <v>0001307</v>
      </c>
      <c r="G989">
        <v>1</v>
      </c>
      <c r="H989" t="str">
        <f>"00000000"</f>
        <v>00000000</v>
      </c>
      <c r="I989" t="s">
        <v>35</v>
      </c>
      <c r="J989"/>
      <c r="K989">
        <v>15.68</v>
      </c>
      <c r="L989">
        <v>0.0</v>
      </c>
      <c r="M989"/>
      <c r="N989"/>
      <c r="O989">
        <v>2.82</v>
      </c>
      <c r="P989">
        <v>0.0</v>
      </c>
      <c r="Q989">
        <v>18.5</v>
      </c>
      <c r="R989"/>
      <c r="S989"/>
      <c r="T989"/>
      <c r="U989"/>
      <c r="V989"/>
      <c r="W989">
        <v>18</v>
      </c>
    </row>
    <row r="990" spans="1:23">
      <c r="A990"/>
      <c r="B990" t="s">
        <v>56</v>
      </c>
      <c r="C990" t="s">
        <v>56</v>
      </c>
      <c r="D990" t="s">
        <v>33</v>
      </c>
      <c r="E990" t="s">
        <v>34</v>
      </c>
      <c r="F990" t="str">
        <f>"0001308"</f>
        <v>0001308</v>
      </c>
      <c r="G990">
        <v>1</v>
      </c>
      <c r="H990" t="str">
        <f>"00000000"</f>
        <v>00000000</v>
      </c>
      <c r="I990" t="s">
        <v>35</v>
      </c>
      <c r="J990"/>
      <c r="K990">
        <v>8.94</v>
      </c>
      <c r="L990">
        <v>0.0</v>
      </c>
      <c r="M990"/>
      <c r="N990"/>
      <c r="O990">
        <v>1.61</v>
      </c>
      <c r="P990">
        <v>0.2</v>
      </c>
      <c r="Q990">
        <v>10.75</v>
      </c>
      <c r="R990"/>
      <c r="S990"/>
      <c r="T990"/>
      <c r="U990"/>
      <c r="V990"/>
      <c r="W990">
        <v>18</v>
      </c>
    </row>
    <row r="991" spans="1:23">
      <c r="A991"/>
      <c r="B991" t="s">
        <v>56</v>
      </c>
      <c r="C991" t="s">
        <v>56</v>
      </c>
      <c r="D991" t="s">
        <v>33</v>
      </c>
      <c r="E991" t="s">
        <v>34</v>
      </c>
      <c r="F991" t="str">
        <f>"0001309"</f>
        <v>0001309</v>
      </c>
      <c r="G991">
        <v>1</v>
      </c>
      <c r="H991" t="str">
        <f>"00000000"</f>
        <v>00000000</v>
      </c>
      <c r="I991" t="s">
        <v>35</v>
      </c>
      <c r="J991"/>
      <c r="K991">
        <v>4.52</v>
      </c>
      <c r="L991">
        <v>0.0</v>
      </c>
      <c r="M991"/>
      <c r="N991"/>
      <c r="O991">
        <v>0.81</v>
      </c>
      <c r="P991">
        <v>0.2</v>
      </c>
      <c r="Q991">
        <v>5.53</v>
      </c>
      <c r="R991"/>
      <c r="S991"/>
      <c r="T991"/>
      <c r="U991"/>
      <c r="V991"/>
      <c r="W991">
        <v>18</v>
      </c>
    </row>
    <row r="992" spans="1:23">
      <c r="A992"/>
      <c r="B992" t="s">
        <v>56</v>
      </c>
      <c r="C992" t="s">
        <v>56</v>
      </c>
      <c r="D992" t="s">
        <v>33</v>
      </c>
      <c r="E992" t="s">
        <v>34</v>
      </c>
      <c r="F992" t="str">
        <f>"0001310"</f>
        <v>0001310</v>
      </c>
      <c r="G992">
        <v>1</v>
      </c>
      <c r="H992" t="str">
        <f>"00000000"</f>
        <v>00000000</v>
      </c>
      <c r="I992" t="s">
        <v>35</v>
      </c>
      <c r="J992"/>
      <c r="K992">
        <v>25.07</v>
      </c>
      <c r="L992">
        <v>0.0</v>
      </c>
      <c r="M992"/>
      <c r="N992"/>
      <c r="O992">
        <v>4.51</v>
      </c>
      <c r="P992">
        <v>0.0</v>
      </c>
      <c r="Q992">
        <v>29.58</v>
      </c>
      <c r="R992"/>
      <c r="S992"/>
      <c r="T992"/>
      <c r="U992"/>
      <c r="V992"/>
      <c r="W992">
        <v>18</v>
      </c>
    </row>
    <row r="993" spans="1:23">
      <c r="A993"/>
      <c r="B993" t="s">
        <v>56</v>
      </c>
      <c r="C993" t="s">
        <v>56</v>
      </c>
      <c r="D993" t="s">
        <v>33</v>
      </c>
      <c r="E993" t="s">
        <v>34</v>
      </c>
      <c r="F993" t="str">
        <f>"0001311"</f>
        <v>0001311</v>
      </c>
      <c r="G993">
        <v>1</v>
      </c>
      <c r="H993" t="str">
        <f>"00000000"</f>
        <v>00000000</v>
      </c>
      <c r="I993" t="s">
        <v>35</v>
      </c>
      <c r="J993"/>
      <c r="K993">
        <v>16.91</v>
      </c>
      <c r="L993">
        <v>0.0</v>
      </c>
      <c r="M993"/>
      <c r="N993"/>
      <c r="O993">
        <v>3.04</v>
      </c>
      <c r="P993">
        <v>0.0</v>
      </c>
      <c r="Q993">
        <v>19.95</v>
      </c>
      <c r="R993"/>
      <c r="S993"/>
      <c r="T993"/>
      <c r="U993"/>
      <c r="V993"/>
      <c r="W993">
        <v>18</v>
      </c>
    </row>
    <row r="994" spans="1:23">
      <c r="A994"/>
      <c r="B994" t="s">
        <v>56</v>
      </c>
      <c r="C994" t="s">
        <v>56</v>
      </c>
      <c r="D994" t="s">
        <v>33</v>
      </c>
      <c r="E994" t="s">
        <v>34</v>
      </c>
      <c r="F994" t="str">
        <f>"0001312"</f>
        <v>0001312</v>
      </c>
      <c r="G994">
        <v>1</v>
      </c>
      <c r="H994" t="str">
        <f>"00000000"</f>
        <v>00000000</v>
      </c>
      <c r="I994" t="s">
        <v>35</v>
      </c>
      <c r="J994"/>
      <c r="K994">
        <v>2.12</v>
      </c>
      <c r="L994">
        <v>0.0</v>
      </c>
      <c r="M994"/>
      <c r="N994"/>
      <c r="O994">
        <v>0.38</v>
      </c>
      <c r="P994">
        <v>0.0</v>
      </c>
      <c r="Q994">
        <v>2.5</v>
      </c>
      <c r="R994"/>
      <c r="S994"/>
      <c r="T994"/>
      <c r="U994"/>
      <c r="V994"/>
      <c r="W994">
        <v>18</v>
      </c>
    </row>
    <row r="995" spans="1:23">
      <c r="A995"/>
      <c r="B995" t="s">
        <v>56</v>
      </c>
      <c r="C995" t="s">
        <v>56</v>
      </c>
      <c r="D995" t="s">
        <v>33</v>
      </c>
      <c r="E995" t="s">
        <v>34</v>
      </c>
      <c r="F995" t="str">
        <f>"0001313"</f>
        <v>0001313</v>
      </c>
      <c r="G995">
        <v>1</v>
      </c>
      <c r="H995" t="str">
        <f>"00000000"</f>
        <v>00000000</v>
      </c>
      <c r="I995" t="s">
        <v>35</v>
      </c>
      <c r="J995"/>
      <c r="K995">
        <v>13.14</v>
      </c>
      <c r="L995">
        <v>0.0</v>
      </c>
      <c r="M995"/>
      <c r="N995"/>
      <c r="O995">
        <v>2.36</v>
      </c>
      <c r="P995">
        <v>0.2</v>
      </c>
      <c r="Q995">
        <v>15.7</v>
      </c>
      <c r="R995"/>
      <c r="S995"/>
      <c r="T995"/>
      <c r="U995"/>
      <c r="V995"/>
      <c r="W995">
        <v>18</v>
      </c>
    </row>
    <row r="996" spans="1:23">
      <c r="A996"/>
      <c r="B996" t="s">
        <v>56</v>
      </c>
      <c r="C996" t="s">
        <v>56</v>
      </c>
      <c r="D996" t="s">
        <v>33</v>
      </c>
      <c r="E996" t="s">
        <v>34</v>
      </c>
      <c r="F996" t="str">
        <f>"0001314"</f>
        <v>0001314</v>
      </c>
      <c r="G996">
        <v>1</v>
      </c>
      <c r="H996" t="str">
        <f>"00000000"</f>
        <v>00000000</v>
      </c>
      <c r="I996" t="s">
        <v>35</v>
      </c>
      <c r="J996"/>
      <c r="K996">
        <v>11.69</v>
      </c>
      <c r="L996">
        <v>0.0</v>
      </c>
      <c r="M996"/>
      <c r="N996"/>
      <c r="O996">
        <v>2.11</v>
      </c>
      <c r="P996">
        <v>0.2</v>
      </c>
      <c r="Q996">
        <v>14.0</v>
      </c>
      <c r="R996"/>
      <c r="S996"/>
      <c r="T996"/>
      <c r="U996"/>
      <c r="V996"/>
      <c r="W996">
        <v>18</v>
      </c>
    </row>
    <row r="997" spans="1:23">
      <c r="A997"/>
      <c r="B997" t="s">
        <v>56</v>
      </c>
      <c r="C997" t="s">
        <v>56</v>
      </c>
      <c r="D997" t="s">
        <v>33</v>
      </c>
      <c r="E997" t="s">
        <v>34</v>
      </c>
      <c r="F997" t="str">
        <f>"0001315"</f>
        <v>0001315</v>
      </c>
      <c r="G997">
        <v>1</v>
      </c>
      <c r="H997" t="str">
        <f>"00000000"</f>
        <v>00000000</v>
      </c>
      <c r="I997" t="s">
        <v>35</v>
      </c>
      <c r="J997"/>
      <c r="K997">
        <v>23.41</v>
      </c>
      <c r="L997">
        <v>0.0</v>
      </c>
      <c r="M997"/>
      <c r="N997"/>
      <c r="O997">
        <v>4.21</v>
      </c>
      <c r="P997">
        <v>0.2</v>
      </c>
      <c r="Q997">
        <v>27.82</v>
      </c>
      <c r="R997"/>
      <c r="S997"/>
      <c r="T997"/>
      <c r="U997"/>
      <c r="V997"/>
      <c r="W997">
        <v>18</v>
      </c>
    </row>
    <row r="998" spans="1:23">
      <c r="A998"/>
      <c r="B998" t="s">
        <v>56</v>
      </c>
      <c r="C998" t="s">
        <v>56</v>
      </c>
      <c r="D998" t="s">
        <v>33</v>
      </c>
      <c r="E998" t="s">
        <v>34</v>
      </c>
      <c r="F998" t="str">
        <f>"0001316"</f>
        <v>0001316</v>
      </c>
      <c r="G998">
        <v>1</v>
      </c>
      <c r="H998" t="str">
        <f>"00000000"</f>
        <v>00000000</v>
      </c>
      <c r="I998" t="s">
        <v>35</v>
      </c>
      <c r="J998"/>
      <c r="K998">
        <v>28.3</v>
      </c>
      <c r="L998">
        <v>0.0</v>
      </c>
      <c r="M998"/>
      <c r="N998"/>
      <c r="O998">
        <v>5.09</v>
      </c>
      <c r="P998">
        <v>0.2</v>
      </c>
      <c r="Q998">
        <v>33.59</v>
      </c>
      <c r="R998"/>
      <c r="S998"/>
      <c r="T998"/>
      <c r="U998"/>
      <c r="V998"/>
      <c r="W998">
        <v>18</v>
      </c>
    </row>
    <row r="999" spans="1:23">
      <c r="A999"/>
      <c r="B999" t="s">
        <v>56</v>
      </c>
      <c r="C999" t="s">
        <v>56</v>
      </c>
      <c r="D999" t="s">
        <v>33</v>
      </c>
      <c r="E999" t="s">
        <v>34</v>
      </c>
      <c r="F999" t="str">
        <f>"0001317"</f>
        <v>0001317</v>
      </c>
      <c r="G999">
        <v>1</v>
      </c>
      <c r="H999" t="str">
        <f>"00000000"</f>
        <v>00000000</v>
      </c>
      <c r="I999" t="s">
        <v>35</v>
      </c>
      <c r="J999"/>
      <c r="K999">
        <v>3.81</v>
      </c>
      <c r="L999">
        <v>0.0</v>
      </c>
      <c r="M999"/>
      <c r="N999"/>
      <c r="O999">
        <v>0.69</v>
      </c>
      <c r="P999">
        <v>0.0</v>
      </c>
      <c r="Q999">
        <v>4.5</v>
      </c>
      <c r="R999"/>
      <c r="S999"/>
      <c r="T999"/>
      <c r="U999"/>
      <c r="V999"/>
      <c r="W999">
        <v>18</v>
      </c>
    </row>
    <row r="1000" spans="1:23">
      <c r="A1000"/>
      <c r="B1000" t="s">
        <v>56</v>
      </c>
      <c r="C1000" t="s">
        <v>56</v>
      </c>
      <c r="D1000" t="s">
        <v>33</v>
      </c>
      <c r="E1000" t="s">
        <v>34</v>
      </c>
      <c r="F1000" t="str">
        <f>"0001318"</f>
        <v>0001318</v>
      </c>
      <c r="G1000">
        <v>1</v>
      </c>
      <c r="H1000" t="str">
        <f>"00000000"</f>
        <v>00000000</v>
      </c>
      <c r="I1000" t="s">
        <v>35</v>
      </c>
      <c r="J1000"/>
      <c r="K1000">
        <v>5.24</v>
      </c>
      <c r="L1000">
        <v>0.0</v>
      </c>
      <c r="M1000"/>
      <c r="N1000"/>
      <c r="O1000">
        <v>0.94</v>
      </c>
      <c r="P1000">
        <v>0.0</v>
      </c>
      <c r="Q1000">
        <v>6.18</v>
      </c>
      <c r="R1000"/>
      <c r="S1000"/>
      <c r="T1000"/>
      <c r="U1000"/>
      <c r="V1000"/>
      <c r="W1000">
        <v>18</v>
      </c>
    </row>
    <row r="1001" spans="1:23">
      <c r="A1001"/>
      <c r="B1001" t="s">
        <v>56</v>
      </c>
      <c r="C1001" t="s">
        <v>56</v>
      </c>
      <c r="D1001" t="s">
        <v>36</v>
      </c>
      <c r="E1001"/>
      <c r="F1001" t="str">
        <f>""</f>
        <v/>
      </c>
      <c r="G1001">
        <v>6</v>
      </c>
      <c r="H1001" t="str">
        <f>"10066626909"</f>
        <v>10066626909</v>
      </c>
      <c r="I1001" t="s">
        <v>57</v>
      </c>
      <c r="J1001"/>
      <c r="K1001">
        <v>13.26</v>
      </c>
      <c r="L1001">
        <v>0.0</v>
      </c>
      <c r="M1001"/>
      <c r="N1001"/>
      <c r="O1001">
        <v>2.39</v>
      </c>
      <c r="P1001">
        <v>0.2</v>
      </c>
      <c r="Q1001">
        <v>15.85</v>
      </c>
      <c r="R1001"/>
      <c r="S1001"/>
      <c r="T1001"/>
      <c r="U1001"/>
      <c r="V1001"/>
      <c r="W1001">
        <v>18</v>
      </c>
    </row>
    <row r="1002" spans="1:23">
      <c r="A1002"/>
      <c r="B1002" t="s">
        <v>56</v>
      </c>
      <c r="C1002" t="s">
        <v>56</v>
      </c>
      <c r="D1002" t="s">
        <v>33</v>
      </c>
      <c r="E1002" t="s">
        <v>34</v>
      </c>
      <c r="F1002" t="str">
        <f>"0001319"</f>
        <v>0001319</v>
      </c>
      <c r="G1002">
        <v>1</v>
      </c>
      <c r="H1002" t="str">
        <f>"00000000"</f>
        <v>00000000</v>
      </c>
      <c r="I1002" t="s">
        <v>35</v>
      </c>
      <c r="J1002"/>
      <c r="K1002">
        <v>13.05</v>
      </c>
      <c r="L1002">
        <v>0.0</v>
      </c>
      <c r="M1002"/>
      <c r="N1002"/>
      <c r="O1002">
        <v>2.35</v>
      </c>
      <c r="P1002">
        <v>0.2</v>
      </c>
      <c r="Q1002">
        <v>15.6</v>
      </c>
      <c r="R1002"/>
      <c r="S1002"/>
      <c r="T1002"/>
      <c r="U1002"/>
      <c r="V1002"/>
      <c r="W1002">
        <v>18</v>
      </c>
    </row>
    <row r="1003" spans="1:23">
      <c r="A1003"/>
      <c r="B1003" t="s">
        <v>56</v>
      </c>
      <c r="C1003" t="s">
        <v>56</v>
      </c>
      <c r="D1003" t="s">
        <v>33</v>
      </c>
      <c r="E1003" t="s">
        <v>34</v>
      </c>
      <c r="F1003" t="str">
        <f>"0001320"</f>
        <v>0001320</v>
      </c>
      <c r="G1003">
        <v>1</v>
      </c>
      <c r="H1003" t="str">
        <f>"00000000"</f>
        <v>00000000</v>
      </c>
      <c r="I1003" t="s">
        <v>35</v>
      </c>
      <c r="J1003"/>
      <c r="K1003">
        <v>17.5</v>
      </c>
      <c r="L1003">
        <v>0.0</v>
      </c>
      <c r="M1003"/>
      <c r="N1003"/>
      <c r="O1003">
        <v>3.15</v>
      </c>
      <c r="P1003">
        <v>0.2</v>
      </c>
      <c r="Q1003">
        <v>20.85</v>
      </c>
      <c r="R1003"/>
      <c r="S1003"/>
      <c r="T1003"/>
      <c r="U1003"/>
      <c r="V1003"/>
      <c r="W1003">
        <v>18</v>
      </c>
    </row>
    <row r="1004" spans="1:23">
      <c r="A1004"/>
      <c r="B1004" t="s">
        <v>56</v>
      </c>
      <c r="C1004" t="s">
        <v>56</v>
      </c>
      <c r="D1004" t="s">
        <v>33</v>
      </c>
      <c r="E1004" t="s">
        <v>34</v>
      </c>
      <c r="F1004" t="str">
        <f>"0001321"</f>
        <v>0001321</v>
      </c>
      <c r="G1004">
        <v>1</v>
      </c>
      <c r="H1004" t="str">
        <f>"00000000"</f>
        <v>00000000</v>
      </c>
      <c r="I1004" t="s">
        <v>35</v>
      </c>
      <c r="J1004"/>
      <c r="K1004">
        <v>46.08</v>
      </c>
      <c r="L1004">
        <v>0.0</v>
      </c>
      <c r="M1004"/>
      <c r="N1004"/>
      <c r="O1004">
        <v>8.29</v>
      </c>
      <c r="P1004">
        <v>0.0</v>
      </c>
      <c r="Q1004">
        <v>54.37</v>
      </c>
      <c r="R1004"/>
      <c r="S1004"/>
      <c r="T1004"/>
      <c r="U1004"/>
      <c r="V1004"/>
      <c r="W1004">
        <v>18</v>
      </c>
    </row>
    <row r="1005" spans="1:23">
      <c r="A1005"/>
      <c r="B1005" t="s">
        <v>56</v>
      </c>
      <c r="C1005" t="s">
        <v>56</v>
      </c>
      <c r="D1005" t="s">
        <v>33</v>
      </c>
      <c r="E1005" t="s">
        <v>34</v>
      </c>
      <c r="F1005" t="str">
        <f>"0001322"</f>
        <v>0001322</v>
      </c>
      <c r="G1005">
        <v>1</v>
      </c>
      <c r="H1005" t="str">
        <f>"00000000"</f>
        <v>00000000</v>
      </c>
      <c r="I1005" t="s">
        <v>35</v>
      </c>
      <c r="J1005"/>
      <c r="K1005">
        <v>51.95</v>
      </c>
      <c r="L1005">
        <v>0.0</v>
      </c>
      <c r="M1005"/>
      <c r="N1005"/>
      <c r="O1005">
        <v>9.35</v>
      </c>
      <c r="P1005">
        <v>0.2</v>
      </c>
      <c r="Q1005">
        <v>61.5</v>
      </c>
      <c r="R1005"/>
      <c r="S1005"/>
      <c r="T1005"/>
      <c r="U1005"/>
      <c r="V1005"/>
      <c r="W1005">
        <v>18</v>
      </c>
    </row>
    <row r="1006" spans="1:23">
      <c r="A1006"/>
      <c r="B1006" t="s">
        <v>56</v>
      </c>
      <c r="C1006" t="s">
        <v>56</v>
      </c>
      <c r="D1006" t="s">
        <v>33</v>
      </c>
      <c r="E1006" t="s">
        <v>34</v>
      </c>
      <c r="F1006" t="str">
        <f>"0001323"</f>
        <v>0001323</v>
      </c>
      <c r="G1006">
        <v>1</v>
      </c>
      <c r="H1006" t="str">
        <f>"00000000"</f>
        <v>00000000</v>
      </c>
      <c r="I1006" t="s">
        <v>35</v>
      </c>
      <c r="J1006"/>
      <c r="K1006">
        <v>15.28</v>
      </c>
      <c r="L1006">
        <v>0.0</v>
      </c>
      <c r="M1006"/>
      <c r="N1006"/>
      <c r="O1006">
        <v>2.75</v>
      </c>
      <c r="P1006">
        <v>0.2</v>
      </c>
      <c r="Q1006">
        <v>18.23</v>
      </c>
      <c r="R1006"/>
      <c r="S1006"/>
      <c r="T1006"/>
      <c r="U1006"/>
      <c r="V1006"/>
      <c r="W1006">
        <v>18</v>
      </c>
    </row>
    <row r="1007" spans="1:23">
      <c r="A1007"/>
      <c r="B1007" t="s">
        <v>56</v>
      </c>
      <c r="C1007" t="s">
        <v>56</v>
      </c>
      <c r="D1007" t="s">
        <v>33</v>
      </c>
      <c r="E1007" t="s">
        <v>34</v>
      </c>
      <c r="F1007" t="str">
        <f>"0001324"</f>
        <v>0001324</v>
      </c>
      <c r="G1007">
        <v>1</v>
      </c>
      <c r="H1007" t="str">
        <f>"00000000"</f>
        <v>00000000</v>
      </c>
      <c r="I1007" t="s">
        <v>35</v>
      </c>
      <c r="J1007"/>
      <c r="K1007">
        <v>37.46</v>
      </c>
      <c r="L1007">
        <v>0.0</v>
      </c>
      <c r="M1007"/>
      <c r="N1007"/>
      <c r="O1007">
        <v>6.74</v>
      </c>
      <c r="P1007">
        <v>0.4</v>
      </c>
      <c r="Q1007">
        <v>44.6</v>
      </c>
      <c r="R1007"/>
      <c r="S1007"/>
      <c r="T1007"/>
      <c r="U1007"/>
      <c r="V1007"/>
      <c r="W1007">
        <v>18</v>
      </c>
    </row>
    <row r="1008" spans="1:23">
      <c r="A1008"/>
      <c r="B1008" t="s">
        <v>56</v>
      </c>
      <c r="C1008" t="s">
        <v>56</v>
      </c>
      <c r="D1008" t="s">
        <v>33</v>
      </c>
      <c r="E1008" t="s">
        <v>34</v>
      </c>
      <c r="F1008" t="str">
        <f>"0001325"</f>
        <v>0001325</v>
      </c>
      <c r="G1008">
        <v>1</v>
      </c>
      <c r="H1008" t="str">
        <f>"00000000"</f>
        <v>00000000</v>
      </c>
      <c r="I1008" t="s">
        <v>35</v>
      </c>
      <c r="J1008"/>
      <c r="K1008">
        <v>42.71</v>
      </c>
      <c r="L1008">
        <v>0.0</v>
      </c>
      <c r="M1008"/>
      <c r="N1008"/>
      <c r="O1008">
        <v>7.69</v>
      </c>
      <c r="P1008">
        <v>0.0</v>
      </c>
      <c r="Q1008">
        <v>50.4</v>
      </c>
      <c r="R1008"/>
      <c r="S1008"/>
      <c r="T1008"/>
      <c r="U1008"/>
      <c r="V1008"/>
      <c r="W1008">
        <v>18</v>
      </c>
    </row>
    <row r="1009" spans="1:23">
      <c r="A1009"/>
      <c r="B1009" t="s">
        <v>56</v>
      </c>
      <c r="C1009" t="s">
        <v>56</v>
      </c>
      <c r="D1009" t="s">
        <v>33</v>
      </c>
      <c r="E1009" t="s">
        <v>34</v>
      </c>
      <c r="F1009" t="str">
        <f>"0001326"</f>
        <v>0001326</v>
      </c>
      <c r="G1009">
        <v>1</v>
      </c>
      <c r="H1009" t="str">
        <f>"00000000"</f>
        <v>00000000</v>
      </c>
      <c r="I1009" t="s">
        <v>35</v>
      </c>
      <c r="J1009"/>
      <c r="K1009">
        <v>17.44</v>
      </c>
      <c r="L1009">
        <v>0.0</v>
      </c>
      <c r="M1009"/>
      <c r="N1009"/>
      <c r="O1009">
        <v>3.14</v>
      </c>
      <c r="P1009">
        <v>0.2</v>
      </c>
      <c r="Q1009">
        <v>20.78</v>
      </c>
      <c r="R1009"/>
      <c r="S1009"/>
      <c r="T1009"/>
      <c r="U1009"/>
      <c r="V1009"/>
      <c r="W1009">
        <v>18</v>
      </c>
    </row>
    <row r="1010" spans="1:23">
      <c r="A1010"/>
      <c r="B1010" t="s">
        <v>56</v>
      </c>
      <c r="C1010" t="s">
        <v>56</v>
      </c>
      <c r="D1010" t="s">
        <v>33</v>
      </c>
      <c r="E1010" t="s">
        <v>34</v>
      </c>
      <c r="F1010" t="str">
        <f>"0001327"</f>
        <v>0001327</v>
      </c>
      <c r="G1010">
        <v>1</v>
      </c>
      <c r="H1010" t="str">
        <f>"00000000"</f>
        <v>00000000</v>
      </c>
      <c r="I1010" t="s">
        <v>35</v>
      </c>
      <c r="J1010"/>
      <c r="K1010">
        <v>36.19</v>
      </c>
      <c r="L1010">
        <v>0.0</v>
      </c>
      <c r="M1010"/>
      <c r="N1010"/>
      <c r="O1010">
        <v>6.51</v>
      </c>
      <c r="P1010">
        <v>0.0</v>
      </c>
      <c r="Q1010">
        <v>42.7</v>
      </c>
      <c r="R1010"/>
      <c r="S1010"/>
      <c r="T1010"/>
      <c r="U1010"/>
      <c r="V1010"/>
      <c r="W1010">
        <v>18</v>
      </c>
    </row>
    <row r="1011" spans="1:23">
      <c r="A1011"/>
      <c r="B1011" t="s">
        <v>56</v>
      </c>
      <c r="C1011" t="s">
        <v>56</v>
      </c>
      <c r="D1011" t="s">
        <v>33</v>
      </c>
      <c r="E1011" t="s">
        <v>34</v>
      </c>
      <c r="F1011" t="str">
        <f>"0001328"</f>
        <v>0001328</v>
      </c>
      <c r="G1011">
        <v>1</v>
      </c>
      <c r="H1011" t="str">
        <f>"00000000"</f>
        <v>00000000</v>
      </c>
      <c r="I1011" t="s">
        <v>35</v>
      </c>
      <c r="J1011"/>
      <c r="K1011">
        <v>3.81</v>
      </c>
      <c r="L1011">
        <v>0.0</v>
      </c>
      <c r="M1011"/>
      <c r="N1011"/>
      <c r="O1011">
        <v>0.69</v>
      </c>
      <c r="P1011">
        <v>0.0</v>
      </c>
      <c r="Q1011">
        <v>4.5</v>
      </c>
      <c r="R1011"/>
      <c r="S1011"/>
      <c r="T1011"/>
      <c r="U1011"/>
      <c r="V1011"/>
      <c r="W1011">
        <v>18</v>
      </c>
    </row>
    <row r="1012" spans="1:23">
      <c r="A1012"/>
      <c r="B1012" t="s">
        <v>56</v>
      </c>
      <c r="C1012" t="s">
        <v>56</v>
      </c>
      <c r="D1012" t="s">
        <v>33</v>
      </c>
      <c r="E1012" t="s">
        <v>34</v>
      </c>
      <c r="F1012" t="str">
        <f>"0001329"</f>
        <v>0001329</v>
      </c>
      <c r="G1012">
        <v>1</v>
      </c>
      <c r="H1012" t="str">
        <f>"00000000"</f>
        <v>00000000</v>
      </c>
      <c r="I1012" t="s">
        <v>35</v>
      </c>
      <c r="J1012"/>
      <c r="K1012">
        <v>1.27</v>
      </c>
      <c r="L1012">
        <v>0.0</v>
      </c>
      <c r="M1012"/>
      <c r="N1012"/>
      <c r="O1012">
        <v>0.23</v>
      </c>
      <c r="P1012">
        <v>0.0</v>
      </c>
      <c r="Q1012">
        <v>1.5</v>
      </c>
      <c r="R1012"/>
      <c r="S1012"/>
      <c r="T1012"/>
      <c r="U1012"/>
      <c r="V1012"/>
      <c r="W1012">
        <v>18</v>
      </c>
    </row>
    <row r="1013" spans="1:23">
      <c r="A1013"/>
      <c r="B1013" t="s">
        <v>56</v>
      </c>
      <c r="C1013" t="s">
        <v>56</v>
      </c>
      <c r="D1013" t="s">
        <v>33</v>
      </c>
      <c r="E1013" t="s">
        <v>34</v>
      </c>
      <c r="F1013" t="str">
        <f>"0001330"</f>
        <v>0001330</v>
      </c>
      <c r="G1013">
        <v>1</v>
      </c>
      <c r="H1013" t="str">
        <f>"00000000"</f>
        <v>00000000</v>
      </c>
      <c r="I1013" t="s">
        <v>35</v>
      </c>
      <c r="J1013"/>
      <c r="K1013">
        <v>11.44</v>
      </c>
      <c r="L1013">
        <v>0.0</v>
      </c>
      <c r="M1013"/>
      <c r="N1013"/>
      <c r="O1013">
        <v>2.06</v>
      </c>
      <c r="P1013">
        <v>0.2</v>
      </c>
      <c r="Q1013">
        <v>13.7</v>
      </c>
      <c r="R1013"/>
      <c r="S1013"/>
      <c r="T1013"/>
      <c r="U1013"/>
      <c r="V1013"/>
      <c r="W1013">
        <v>18</v>
      </c>
    </row>
    <row r="1014" spans="1:23">
      <c r="A1014"/>
      <c r="B1014" t="s">
        <v>56</v>
      </c>
      <c r="C1014" t="s">
        <v>56</v>
      </c>
      <c r="D1014" t="s">
        <v>33</v>
      </c>
      <c r="E1014" t="s">
        <v>34</v>
      </c>
      <c r="F1014" t="str">
        <f>"0001331"</f>
        <v>0001331</v>
      </c>
      <c r="G1014">
        <v>1</v>
      </c>
      <c r="H1014" t="str">
        <f>"00000000"</f>
        <v>00000000</v>
      </c>
      <c r="I1014" t="s">
        <v>35</v>
      </c>
      <c r="J1014"/>
      <c r="K1014">
        <v>5.34</v>
      </c>
      <c r="L1014">
        <v>0.0</v>
      </c>
      <c r="M1014"/>
      <c r="N1014"/>
      <c r="O1014">
        <v>0.96</v>
      </c>
      <c r="P1014">
        <v>0.0</v>
      </c>
      <c r="Q1014">
        <v>6.3</v>
      </c>
      <c r="R1014"/>
      <c r="S1014"/>
      <c r="T1014"/>
      <c r="U1014"/>
      <c r="V1014"/>
      <c r="W1014">
        <v>18</v>
      </c>
    </row>
    <row r="1015" spans="1:23">
      <c r="A1015"/>
      <c r="B1015" t="s">
        <v>56</v>
      </c>
      <c r="C1015" t="s">
        <v>56</v>
      </c>
      <c r="D1015" t="s">
        <v>33</v>
      </c>
      <c r="E1015" t="s">
        <v>34</v>
      </c>
      <c r="F1015" t="str">
        <f>"0001332"</f>
        <v>0001332</v>
      </c>
      <c r="G1015">
        <v>1</v>
      </c>
      <c r="H1015" t="str">
        <f>"00000000"</f>
        <v>00000000</v>
      </c>
      <c r="I1015" t="s">
        <v>35</v>
      </c>
      <c r="J1015"/>
      <c r="K1015">
        <v>17.28</v>
      </c>
      <c r="L1015">
        <v>0.0</v>
      </c>
      <c r="M1015"/>
      <c r="N1015"/>
      <c r="O1015">
        <v>3.11</v>
      </c>
      <c r="P1015">
        <v>0.2</v>
      </c>
      <c r="Q1015">
        <v>20.59</v>
      </c>
      <c r="R1015"/>
      <c r="S1015"/>
      <c r="T1015"/>
      <c r="U1015"/>
      <c r="V1015"/>
      <c r="W1015">
        <v>18</v>
      </c>
    </row>
    <row r="1016" spans="1:23">
      <c r="A1016"/>
      <c r="B1016" t="s">
        <v>56</v>
      </c>
      <c r="C1016" t="s">
        <v>56</v>
      </c>
      <c r="D1016" t="s">
        <v>33</v>
      </c>
      <c r="E1016" t="s">
        <v>34</v>
      </c>
      <c r="F1016" t="str">
        <f>"0001333"</f>
        <v>0001333</v>
      </c>
      <c r="G1016">
        <v>1</v>
      </c>
      <c r="H1016" t="str">
        <f>"00000000"</f>
        <v>00000000</v>
      </c>
      <c r="I1016" t="s">
        <v>35</v>
      </c>
      <c r="J1016"/>
      <c r="K1016">
        <v>1.44</v>
      </c>
      <c r="L1016">
        <v>0.0</v>
      </c>
      <c r="M1016"/>
      <c r="N1016"/>
      <c r="O1016">
        <v>0.26</v>
      </c>
      <c r="P1016">
        <v>0.0</v>
      </c>
      <c r="Q1016">
        <v>1.7</v>
      </c>
      <c r="R1016"/>
      <c r="S1016"/>
      <c r="T1016"/>
      <c r="U1016"/>
      <c r="V1016"/>
      <c r="W1016">
        <v>18</v>
      </c>
    </row>
    <row r="1017" spans="1:23">
      <c r="A1017"/>
      <c r="B1017" t="s">
        <v>56</v>
      </c>
      <c r="C1017" t="s">
        <v>56</v>
      </c>
      <c r="D1017" t="s">
        <v>33</v>
      </c>
      <c r="E1017" t="s">
        <v>34</v>
      </c>
      <c r="F1017" t="str">
        <f>"0001334"</f>
        <v>0001334</v>
      </c>
      <c r="G1017">
        <v>1</v>
      </c>
      <c r="H1017" t="str">
        <f>"00000000"</f>
        <v>00000000</v>
      </c>
      <c r="I1017" t="s">
        <v>35</v>
      </c>
      <c r="J1017"/>
      <c r="K1017">
        <v>0.08</v>
      </c>
      <c r="L1017">
        <v>0.0</v>
      </c>
      <c r="M1017"/>
      <c r="N1017"/>
      <c r="O1017">
        <v>0.02</v>
      </c>
      <c r="P1017">
        <v>0.2</v>
      </c>
      <c r="Q1017">
        <v>0.3</v>
      </c>
      <c r="R1017"/>
      <c r="S1017"/>
      <c r="T1017"/>
      <c r="U1017"/>
      <c r="V1017"/>
      <c r="W1017">
        <v>18</v>
      </c>
    </row>
    <row r="1018" spans="1:23">
      <c r="A1018"/>
      <c r="B1018" t="s">
        <v>56</v>
      </c>
      <c r="C1018" t="s">
        <v>56</v>
      </c>
      <c r="D1018" t="s">
        <v>33</v>
      </c>
      <c r="E1018" t="s">
        <v>34</v>
      </c>
      <c r="F1018" t="str">
        <f>"0001335"</f>
        <v>0001335</v>
      </c>
      <c r="G1018">
        <v>1</v>
      </c>
      <c r="H1018" t="str">
        <f>"00000000"</f>
        <v>00000000</v>
      </c>
      <c r="I1018" t="s">
        <v>35</v>
      </c>
      <c r="J1018"/>
      <c r="K1018">
        <v>5.15</v>
      </c>
      <c r="L1018">
        <v>0.0</v>
      </c>
      <c r="M1018"/>
      <c r="N1018"/>
      <c r="O1018">
        <v>0.93</v>
      </c>
      <c r="P1018">
        <v>0.0</v>
      </c>
      <c r="Q1018">
        <v>6.08</v>
      </c>
      <c r="R1018"/>
      <c r="S1018"/>
      <c r="T1018"/>
      <c r="U1018"/>
      <c r="V1018"/>
      <c r="W1018">
        <v>18</v>
      </c>
    </row>
    <row r="1019" spans="1:23">
      <c r="A1019"/>
      <c r="B1019" t="s">
        <v>56</v>
      </c>
      <c r="C1019" t="s">
        <v>56</v>
      </c>
      <c r="D1019" t="s">
        <v>33</v>
      </c>
      <c r="E1019" t="s">
        <v>34</v>
      </c>
      <c r="F1019" t="str">
        <f>"0001336"</f>
        <v>0001336</v>
      </c>
      <c r="G1019">
        <v>1</v>
      </c>
      <c r="H1019" t="str">
        <f>"00000000"</f>
        <v>00000000</v>
      </c>
      <c r="I1019" t="s">
        <v>35</v>
      </c>
      <c r="J1019"/>
      <c r="K1019">
        <v>13.38</v>
      </c>
      <c r="L1019">
        <v>0.0</v>
      </c>
      <c r="M1019"/>
      <c r="N1019"/>
      <c r="O1019">
        <v>2.41</v>
      </c>
      <c r="P1019">
        <v>0.0</v>
      </c>
      <c r="Q1019">
        <v>15.79</v>
      </c>
      <c r="R1019"/>
      <c r="S1019"/>
      <c r="T1019"/>
      <c r="U1019"/>
      <c r="V1019"/>
      <c r="W1019">
        <v>18</v>
      </c>
    </row>
    <row r="1020" spans="1:23">
      <c r="A1020"/>
      <c r="B1020" t="s">
        <v>56</v>
      </c>
      <c r="C1020" t="s">
        <v>56</v>
      </c>
      <c r="D1020" t="s">
        <v>33</v>
      </c>
      <c r="E1020" t="s">
        <v>34</v>
      </c>
      <c r="F1020" t="str">
        <f>"0001337"</f>
        <v>0001337</v>
      </c>
      <c r="G1020">
        <v>1</v>
      </c>
      <c r="H1020" t="str">
        <f>"00000000"</f>
        <v>00000000</v>
      </c>
      <c r="I1020" t="s">
        <v>35</v>
      </c>
      <c r="J1020"/>
      <c r="K1020">
        <v>58.04</v>
      </c>
      <c r="L1020">
        <v>0.0</v>
      </c>
      <c r="M1020"/>
      <c r="N1020"/>
      <c r="O1020">
        <v>10.45</v>
      </c>
      <c r="P1020">
        <v>0.2</v>
      </c>
      <c r="Q1020">
        <v>68.68</v>
      </c>
      <c r="R1020"/>
      <c r="S1020"/>
      <c r="T1020"/>
      <c r="U1020"/>
      <c r="V1020"/>
      <c r="W1020">
        <v>18</v>
      </c>
    </row>
    <row r="1021" spans="1:23">
      <c r="A1021"/>
      <c r="B1021" t="s">
        <v>56</v>
      </c>
      <c r="C1021" t="s">
        <v>56</v>
      </c>
      <c r="D1021" t="s">
        <v>33</v>
      </c>
      <c r="E1021" t="s">
        <v>34</v>
      </c>
      <c r="F1021" t="str">
        <f>"0001338"</f>
        <v>0001338</v>
      </c>
      <c r="G1021">
        <v>1</v>
      </c>
      <c r="H1021" t="str">
        <f>"00000000"</f>
        <v>00000000</v>
      </c>
      <c r="I1021" t="s">
        <v>35</v>
      </c>
      <c r="J1021"/>
      <c r="K1021">
        <v>11.09</v>
      </c>
      <c r="L1021">
        <v>0.0</v>
      </c>
      <c r="M1021"/>
      <c r="N1021"/>
      <c r="O1021">
        <v>2.0</v>
      </c>
      <c r="P1021">
        <v>0.2</v>
      </c>
      <c r="Q1021">
        <v>13.29</v>
      </c>
      <c r="R1021"/>
      <c r="S1021"/>
      <c r="T1021"/>
      <c r="U1021"/>
      <c r="V1021"/>
      <c r="W1021">
        <v>18</v>
      </c>
    </row>
    <row r="1022" spans="1:23">
      <c r="A1022"/>
      <c r="B1022" t="s">
        <v>56</v>
      </c>
      <c r="C1022" t="s">
        <v>56</v>
      </c>
      <c r="D1022" t="s">
        <v>33</v>
      </c>
      <c r="E1022" t="s">
        <v>34</v>
      </c>
      <c r="F1022" t="str">
        <f>"0001339"</f>
        <v>0001339</v>
      </c>
      <c r="G1022">
        <v>1</v>
      </c>
      <c r="H1022" t="str">
        <f>"00000000"</f>
        <v>00000000</v>
      </c>
      <c r="I1022" t="s">
        <v>35</v>
      </c>
      <c r="J1022"/>
      <c r="K1022">
        <v>11.34</v>
      </c>
      <c r="L1022">
        <v>0.0</v>
      </c>
      <c r="M1022"/>
      <c r="N1022"/>
      <c r="O1022">
        <v>2.04</v>
      </c>
      <c r="P1022">
        <v>0.2</v>
      </c>
      <c r="Q1022">
        <v>13.58</v>
      </c>
      <c r="R1022"/>
      <c r="S1022"/>
      <c r="T1022"/>
      <c r="U1022"/>
      <c r="V1022"/>
      <c r="W1022">
        <v>18</v>
      </c>
    </row>
    <row r="1023" spans="1:23">
      <c r="A1023"/>
      <c r="B1023" t="s">
        <v>56</v>
      </c>
      <c r="C1023" t="s">
        <v>56</v>
      </c>
      <c r="D1023" t="s">
        <v>33</v>
      </c>
      <c r="E1023" t="s">
        <v>34</v>
      </c>
      <c r="F1023" t="str">
        <f>"0001340"</f>
        <v>0001340</v>
      </c>
      <c r="G1023">
        <v>1</v>
      </c>
      <c r="H1023" t="str">
        <f>"00000000"</f>
        <v>00000000</v>
      </c>
      <c r="I1023" t="s">
        <v>35</v>
      </c>
      <c r="J1023"/>
      <c r="K1023">
        <v>16.1</v>
      </c>
      <c r="L1023">
        <v>0.0</v>
      </c>
      <c r="M1023"/>
      <c r="N1023"/>
      <c r="O1023">
        <v>2.9</v>
      </c>
      <c r="P1023">
        <v>0.0</v>
      </c>
      <c r="Q1023">
        <v>19.0</v>
      </c>
      <c r="R1023"/>
      <c r="S1023"/>
      <c r="T1023"/>
      <c r="U1023"/>
      <c r="V1023"/>
      <c r="W1023">
        <v>18</v>
      </c>
    </row>
    <row r="1024" spans="1:23">
      <c r="A1024"/>
      <c r="B1024" t="s">
        <v>56</v>
      </c>
      <c r="C1024" t="s">
        <v>56</v>
      </c>
      <c r="D1024" t="s">
        <v>33</v>
      </c>
      <c r="E1024" t="s">
        <v>34</v>
      </c>
      <c r="F1024" t="str">
        <f>"0001341"</f>
        <v>0001341</v>
      </c>
      <c r="G1024">
        <v>1</v>
      </c>
      <c r="H1024" t="str">
        <f>"00000000"</f>
        <v>00000000</v>
      </c>
      <c r="I1024" t="s">
        <v>35</v>
      </c>
      <c r="J1024"/>
      <c r="K1024">
        <v>11.92</v>
      </c>
      <c r="L1024">
        <v>0.0</v>
      </c>
      <c r="M1024"/>
      <c r="N1024"/>
      <c r="O1024">
        <v>2.15</v>
      </c>
      <c r="P1024">
        <v>0.2</v>
      </c>
      <c r="Q1024">
        <v>14.27</v>
      </c>
      <c r="R1024"/>
      <c r="S1024"/>
      <c r="T1024"/>
      <c r="U1024"/>
      <c r="V1024"/>
      <c r="W1024">
        <v>18</v>
      </c>
    </row>
    <row r="1025" spans="1:23">
      <c r="A1025"/>
      <c r="B1025" t="s">
        <v>56</v>
      </c>
      <c r="C1025" t="s">
        <v>56</v>
      </c>
      <c r="D1025" t="s">
        <v>33</v>
      </c>
      <c r="E1025" t="s">
        <v>34</v>
      </c>
      <c r="F1025" t="str">
        <f>"0001342"</f>
        <v>0001342</v>
      </c>
      <c r="G1025">
        <v>1</v>
      </c>
      <c r="H1025" t="str">
        <f>"00000000"</f>
        <v>00000000</v>
      </c>
      <c r="I1025" t="s">
        <v>35</v>
      </c>
      <c r="J1025"/>
      <c r="K1025">
        <v>13.64</v>
      </c>
      <c r="L1025">
        <v>0.0</v>
      </c>
      <c r="M1025"/>
      <c r="N1025"/>
      <c r="O1025">
        <v>2.46</v>
      </c>
      <c r="P1025">
        <v>0.2</v>
      </c>
      <c r="Q1025">
        <v>16.3</v>
      </c>
      <c r="R1025"/>
      <c r="S1025"/>
      <c r="T1025"/>
      <c r="U1025"/>
      <c r="V1025"/>
      <c r="W1025">
        <v>18</v>
      </c>
    </row>
    <row r="1026" spans="1:23">
      <c r="A1026"/>
      <c r="B1026" t="s">
        <v>56</v>
      </c>
      <c r="C1026" t="s">
        <v>56</v>
      </c>
      <c r="D1026" t="s">
        <v>33</v>
      </c>
      <c r="E1026" t="s">
        <v>34</v>
      </c>
      <c r="F1026" t="str">
        <f>"0001343"</f>
        <v>0001343</v>
      </c>
      <c r="G1026">
        <v>1</v>
      </c>
      <c r="H1026" t="str">
        <f>"00000000"</f>
        <v>00000000</v>
      </c>
      <c r="I1026" t="s">
        <v>35</v>
      </c>
      <c r="J1026"/>
      <c r="K1026">
        <v>8.9</v>
      </c>
      <c r="L1026">
        <v>0.0</v>
      </c>
      <c r="M1026"/>
      <c r="N1026"/>
      <c r="O1026">
        <v>1.6</v>
      </c>
      <c r="P1026">
        <v>0.0</v>
      </c>
      <c r="Q1026">
        <v>10.5</v>
      </c>
      <c r="R1026"/>
      <c r="S1026"/>
      <c r="T1026"/>
      <c r="U1026"/>
      <c r="V1026"/>
      <c r="W1026">
        <v>18</v>
      </c>
    </row>
    <row r="1027" spans="1:23">
      <c r="A1027"/>
      <c r="B1027" t="s">
        <v>56</v>
      </c>
      <c r="C1027" t="s">
        <v>56</v>
      </c>
      <c r="D1027" t="s">
        <v>33</v>
      </c>
      <c r="E1027" t="s">
        <v>34</v>
      </c>
      <c r="F1027" t="str">
        <f>"0001344"</f>
        <v>0001344</v>
      </c>
      <c r="G1027">
        <v>1</v>
      </c>
      <c r="H1027" t="str">
        <f>"00000000"</f>
        <v>00000000</v>
      </c>
      <c r="I1027" t="s">
        <v>35</v>
      </c>
      <c r="J1027"/>
      <c r="K1027">
        <v>6.78</v>
      </c>
      <c r="L1027">
        <v>0.0</v>
      </c>
      <c r="M1027"/>
      <c r="N1027"/>
      <c r="O1027">
        <v>1.22</v>
      </c>
      <c r="P1027">
        <v>0.0</v>
      </c>
      <c r="Q1027">
        <v>8.0</v>
      </c>
      <c r="R1027"/>
      <c r="S1027"/>
      <c r="T1027"/>
      <c r="U1027"/>
      <c r="V1027"/>
      <c r="W1027">
        <v>18</v>
      </c>
    </row>
    <row r="1028" spans="1:23">
      <c r="A1028"/>
      <c r="B1028" t="s">
        <v>56</v>
      </c>
      <c r="C1028" t="s">
        <v>56</v>
      </c>
      <c r="D1028" t="s">
        <v>33</v>
      </c>
      <c r="E1028" t="s">
        <v>34</v>
      </c>
      <c r="F1028" t="str">
        <f>"0001345"</f>
        <v>0001345</v>
      </c>
      <c r="G1028">
        <v>1</v>
      </c>
      <c r="H1028" t="str">
        <f>"00000000"</f>
        <v>00000000</v>
      </c>
      <c r="I1028" t="s">
        <v>35</v>
      </c>
      <c r="J1028"/>
      <c r="K1028">
        <v>15.57</v>
      </c>
      <c r="L1028">
        <v>0.0</v>
      </c>
      <c r="M1028"/>
      <c r="N1028"/>
      <c r="O1028">
        <v>2.8</v>
      </c>
      <c r="P1028">
        <v>0.2</v>
      </c>
      <c r="Q1028">
        <v>18.57</v>
      </c>
      <c r="R1028"/>
      <c r="S1028"/>
      <c r="T1028"/>
      <c r="U1028"/>
      <c r="V1028"/>
      <c r="W1028">
        <v>18</v>
      </c>
    </row>
    <row r="1029" spans="1:23">
      <c r="A1029"/>
      <c r="B1029" t="s">
        <v>56</v>
      </c>
      <c r="C1029" t="s">
        <v>56</v>
      </c>
      <c r="D1029" t="s">
        <v>33</v>
      </c>
      <c r="E1029" t="s">
        <v>34</v>
      </c>
      <c r="F1029" t="str">
        <f>"0001346"</f>
        <v>0001346</v>
      </c>
      <c r="G1029">
        <v>1</v>
      </c>
      <c r="H1029" t="str">
        <f>"00000000"</f>
        <v>00000000</v>
      </c>
      <c r="I1029" t="s">
        <v>35</v>
      </c>
      <c r="J1029"/>
      <c r="K1029">
        <v>13.9</v>
      </c>
      <c r="L1029">
        <v>0.0</v>
      </c>
      <c r="M1029"/>
      <c r="N1029"/>
      <c r="O1029">
        <v>2.5</v>
      </c>
      <c r="P1029">
        <v>0.0</v>
      </c>
      <c r="Q1029">
        <v>16.4</v>
      </c>
      <c r="R1029"/>
      <c r="S1029"/>
      <c r="T1029"/>
      <c r="U1029"/>
      <c r="V1029"/>
      <c r="W1029">
        <v>18</v>
      </c>
    </row>
    <row r="1030" spans="1:23">
      <c r="A1030"/>
      <c r="B1030" t="s">
        <v>56</v>
      </c>
      <c r="C1030" t="s">
        <v>56</v>
      </c>
      <c r="D1030" t="s">
        <v>33</v>
      </c>
      <c r="E1030" t="s">
        <v>34</v>
      </c>
      <c r="F1030" t="str">
        <f>"0001347"</f>
        <v>0001347</v>
      </c>
      <c r="G1030">
        <v>1</v>
      </c>
      <c r="H1030" t="str">
        <f>"00000000"</f>
        <v>00000000</v>
      </c>
      <c r="I1030" t="s">
        <v>35</v>
      </c>
      <c r="J1030"/>
      <c r="K1030">
        <v>86.82</v>
      </c>
      <c r="L1030">
        <v>0.0</v>
      </c>
      <c r="M1030"/>
      <c r="N1030"/>
      <c r="O1030">
        <v>15.63</v>
      </c>
      <c r="P1030">
        <v>0.4</v>
      </c>
      <c r="Q1030">
        <v>102.84</v>
      </c>
      <c r="R1030"/>
      <c r="S1030"/>
      <c r="T1030"/>
      <c r="U1030"/>
      <c r="V1030"/>
      <c r="W1030">
        <v>18</v>
      </c>
    </row>
    <row r="1031" spans="1:23">
      <c r="A1031"/>
      <c r="B1031" t="s">
        <v>56</v>
      </c>
      <c r="C1031" t="s">
        <v>56</v>
      </c>
      <c r="D1031" t="s">
        <v>36</v>
      </c>
      <c r="E1031" t="s">
        <v>37</v>
      </c>
      <c r="F1031" t="str">
        <f>"0000028"</f>
        <v>0000028</v>
      </c>
      <c r="G1031">
        <v>6</v>
      </c>
      <c r="H1031" t="str">
        <f>"20547236875"</f>
        <v>20547236875</v>
      </c>
      <c r="I1031" t="s">
        <v>44</v>
      </c>
      <c r="J1031"/>
      <c r="K1031">
        <v>38.98</v>
      </c>
      <c r="L1031">
        <v>0.0</v>
      </c>
      <c r="M1031"/>
      <c r="N1031"/>
      <c r="O1031">
        <v>7.02</v>
      </c>
      <c r="P1031">
        <v>0.2</v>
      </c>
      <c r="Q1031">
        <v>46.2</v>
      </c>
      <c r="R1031"/>
      <c r="S1031"/>
      <c r="T1031"/>
      <c r="U1031"/>
      <c r="V1031"/>
      <c r="W1031">
        <v>18</v>
      </c>
    </row>
    <row r="1032" spans="1:23">
      <c r="A1032"/>
      <c r="B1032" t="s">
        <v>56</v>
      </c>
      <c r="C1032" t="s">
        <v>56</v>
      </c>
      <c r="D1032" t="s">
        <v>33</v>
      </c>
      <c r="E1032" t="s">
        <v>34</v>
      </c>
      <c r="F1032" t="str">
        <f>"0001348"</f>
        <v>0001348</v>
      </c>
      <c r="G1032">
        <v>1</v>
      </c>
      <c r="H1032" t="str">
        <f>"00000000"</f>
        <v>00000000</v>
      </c>
      <c r="I1032" t="s">
        <v>35</v>
      </c>
      <c r="J1032"/>
      <c r="K1032">
        <v>33.81</v>
      </c>
      <c r="L1032">
        <v>0.0</v>
      </c>
      <c r="M1032"/>
      <c r="N1032"/>
      <c r="O1032">
        <v>6.09</v>
      </c>
      <c r="P1032">
        <v>0.2</v>
      </c>
      <c r="Q1032">
        <v>40.1</v>
      </c>
      <c r="R1032"/>
      <c r="S1032"/>
      <c r="T1032"/>
      <c r="U1032"/>
      <c r="V1032"/>
      <c r="W1032">
        <v>18</v>
      </c>
    </row>
    <row r="1033" spans="1:23">
      <c r="A1033"/>
      <c r="B1033" t="s">
        <v>56</v>
      </c>
      <c r="C1033" t="s">
        <v>56</v>
      </c>
      <c r="D1033" t="s">
        <v>33</v>
      </c>
      <c r="E1033" t="s">
        <v>34</v>
      </c>
      <c r="F1033" t="str">
        <f>"0001349"</f>
        <v>0001349</v>
      </c>
      <c r="G1033">
        <v>1</v>
      </c>
      <c r="H1033" t="str">
        <f>"00000000"</f>
        <v>00000000</v>
      </c>
      <c r="I1033" t="s">
        <v>35</v>
      </c>
      <c r="J1033"/>
      <c r="K1033">
        <v>118.97</v>
      </c>
      <c r="L1033">
        <v>0.0</v>
      </c>
      <c r="M1033"/>
      <c r="N1033"/>
      <c r="O1033">
        <v>21.42</v>
      </c>
      <c r="P1033">
        <v>0.0</v>
      </c>
      <c r="Q1033">
        <v>140.39</v>
      </c>
      <c r="R1033"/>
      <c r="S1033"/>
      <c r="T1033"/>
      <c r="U1033"/>
      <c r="V1033"/>
      <c r="W1033">
        <v>18</v>
      </c>
    </row>
    <row r="1034" spans="1:23">
      <c r="A1034"/>
      <c r="B1034" t="s">
        <v>56</v>
      </c>
      <c r="C1034" t="s">
        <v>56</v>
      </c>
      <c r="D1034" t="s">
        <v>33</v>
      </c>
      <c r="E1034" t="s">
        <v>34</v>
      </c>
      <c r="F1034" t="str">
        <f>"0001350"</f>
        <v>0001350</v>
      </c>
      <c r="G1034">
        <v>1</v>
      </c>
      <c r="H1034" t="str">
        <f>"00000000"</f>
        <v>00000000</v>
      </c>
      <c r="I1034" t="s">
        <v>35</v>
      </c>
      <c r="J1034"/>
      <c r="K1034">
        <v>47.36</v>
      </c>
      <c r="L1034">
        <v>0.0</v>
      </c>
      <c r="M1034"/>
      <c r="N1034"/>
      <c r="O1034">
        <v>8.53</v>
      </c>
      <c r="P1034">
        <v>0.8</v>
      </c>
      <c r="Q1034">
        <v>56.69</v>
      </c>
      <c r="R1034"/>
      <c r="S1034"/>
      <c r="T1034"/>
      <c r="U1034"/>
      <c r="V1034"/>
      <c r="W1034">
        <v>18</v>
      </c>
    </row>
    <row r="1035" spans="1:23">
      <c r="A1035"/>
      <c r="B1035" t="s">
        <v>56</v>
      </c>
      <c r="C1035" t="s">
        <v>56</v>
      </c>
      <c r="D1035" t="s">
        <v>33</v>
      </c>
      <c r="E1035" t="s">
        <v>34</v>
      </c>
      <c r="F1035" t="str">
        <f>"0001351"</f>
        <v>0001351</v>
      </c>
      <c r="G1035">
        <v>1</v>
      </c>
      <c r="H1035" t="str">
        <f>"00000000"</f>
        <v>00000000</v>
      </c>
      <c r="I1035" t="s">
        <v>35</v>
      </c>
      <c r="J1035"/>
      <c r="K1035">
        <v>2.53</v>
      </c>
      <c r="L1035">
        <v>0.0</v>
      </c>
      <c r="M1035"/>
      <c r="N1035"/>
      <c r="O1035">
        <v>0.46</v>
      </c>
      <c r="P1035">
        <v>0.0</v>
      </c>
      <c r="Q1035">
        <v>2.99</v>
      </c>
      <c r="R1035"/>
      <c r="S1035"/>
      <c r="T1035"/>
      <c r="U1035"/>
      <c r="V1035"/>
      <c r="W1035">
        <v>18</v>
      </c>
    </row>
    <row r="1036" spans="1:23">
      <c r="A1036"/>
      <c r="B1036" t="s">
        <v>56</v>
      </c>
      <c r="C1036" t="s">
        <v>56</v>
      </c>
      <c r="D1036" t="s">
        <v>33</v>
      </c>
      <c r="E1036" t="s">
        <v>34</v>
      </c>
      <c r="F1036" t="str">
        <f>"0001352"</f>
        <v>0001352</v>
      </c>
      <c r="G1036">
        <v>1</v>
      </c>
      <c r="H1036" t="str">
        <f>"00000000"</f>
        <v>00000000</v>
      </c>
      <c r="I1036" t="s">
        <v>35</v>
      </c>
      <c r="J1036"/>
      <c r="K1036">
        <v>3.81</v>
      </c>
      <c r="L1036">
        <v>0.0</v>
      </c>
      <c r="M1036"/>
      <c r="N1036"/>
      <c r="O1036">
        <v>0.69</v>
      </c>
      <c r="P1036">
        <v>0.0</v>
      </c>
      <c r="Q1036">
        <v>4.5</v>
      </c>
      <c r="R1036"/>
      <c r="S1036"/>
      <c r="T1036"/>
      <c r="U1036"/>
      <c r="V1036"/>
      <c r="W1036">
        <v>18</v>
      </c>
    </row>
    <row r="1037" spans="1:23">
      <c r="A1037"/>
      <c r="B1037" t="s">
        <v>56</v>
      </c>
      <c r="C1037" t="s">
        <v>56</v>
      </c>
      <c r="D1037" t="s">
        <v>33</v>
      </c>
      <c r="E1037" t="s">
        <v>34</v>
      </c>
      <c r="F1037" t="str">
        <f>"0001353"</f>
        <v>0001353</v>
      </c>
      <c r="G1037">
        <v>1</v>
      </c>
      <c r="H1037" t="str">
        <f>"00000000"</f>
        <v>00000000</v>
      </c>
      <c r="I1037" t="s">
        <v>35</v>
      </c>
      <c r="J1037"/>
      <c r="K1037">
        <v>0.04</v>
      </c>
      <c r="L1037">
        <v>0.0</v>
      </c>
      <c r="M1037"/>
      <c r="N1037"/>
      <c r="O1037">
        <v>0.01</v>
      </c>
      <c r="P1037">
        <v>0.2</v>
      </c>
      <c r="Q1037">
        <v>0.25</v>
      </c>
      <c r="R1037"/>
      <c r="S1037"/>
      <c r="T1037"/>
      <c r="U1037"/>
      <c r="V1037"/>
      <c r="W1037">
        <v>18</v>
      </c>
    </row>
    <row r="1038" spans="1:23">
      <c r="A1038"/>
      <c r="B1038" t="s">
        <v>56</v>
      </c>
      <c r="C1038" t="s">
        <v>56</v>
      </c>
      <c r="D1038" t="s">
        <v>33</v>
      </c>
      <c r="E1038" t="s">
        <v>34</v>
      </c>
      <c r="F1038" t="str">
        <f>"0001354"</f>
        <v>0001354</v>
      </c>
      <c r="G1038">
        <v>1</v>
      </c>
      <c r="H1038" t="str">
        <f>"00000000"</f>
        <v>00000000</v>
      </c>
      <c r="I1038" t="s">
        <v>35</v>
      </c>
      <c r="J1038"/>
      <c r="K1038">
        <v>25.76</v>
      </c>
      <c r="L1038">
        <v>0.0</v>
      </c>
      <c r="M1038"/>
      <c r="N1038"/>
      <c r="O1038">
        <v>4.64</v>
      </c>
      <c r="P1038">
        <v>0.2</v>
      </c>
      <c r="Q1038">
        <v>30.6</v>
      </c>
      <c r="R1038"/>
      <c r="S1038"/>
      <c r="T1038"/>
      <c r="U1038"/>
      <c r="V1038"/>
      <c r="W1038">
        <v>18</v>
      </c>
    </row>
    <row r="1039" spans="1:23">
      <c r="A1039"/>
      <c r="B1039" t="s">
        <v>56</v>
      </c>
      <c r="C1039" t="s">
        <v>56</v>
      </c>
      <c r="D1039" t="s">
        <v>33</v>
      </c>
      <c r="E1039" t="s">
        <v>34</v>
      </c>
      <c r="F1039" t="str">
        <f>"0001355"</f>
        <v>0001355</v>
      </c>
      <c r="G1039">
        <v>1</v>
      </c>
      <c r="H1039" t="str">
        <f>"00000000"</f>
        <v>00000000</v>
      </c>
      <c r="I1039" t="s">
        <v>35</v>
      </c>
      <c r="J1039"/>
      <c r="K1039">
        <v>36.42</v>
      </c>
      <c r="L1039">
        <v>0.0</v>
      </c>
      <c r="M1039"/>
      <c r="N1039"/>
      <c r="O1039">
        <v>6.56</v>
      </c>
      <c r="P1039">
        <v>0.0</v>
      </c>
      <c r="Q1039">
        <v>42.97</v>
      </c>
      <c r="R1039"/>
      <c r="S1039"/>
      <c r="T1039"/>
      <c r="U1039"/>
      <c r="V1039"/>
      <c r="W1039">
        <v>18</v>
      </c>
    </row>
    <row r="1040" spans="1:23">
      <c r="A1040"/>
      <c r="B1040" t="s">
        <v>56</v>
      </c>
      <c r="C1040" t="s">
        <v>56</v>
      </c>
      <c r="D1040" t="s">
        <v>33</v>
      </c>
      <c r="E1040" t="s">
        <v>34</v>
      </c>
      <c r="F1040" t="str">
        <f>"0001356"</f>
        <v>0001356</v>
      </c>
      <c r="G1040">
        <v>1</v>
      </c>
      <c r="H1040" t="str">
        <f>"00000000"</f>
        <v>00000000</v>
      </c>
      <c r="I1040" t="s">
        <v>35</v>
      </c>
      <c r="J1040"/>
      <c r="K1040">
        <v>24.28</v>
      </c>
      <c r="L1040">
        <v>0.0</v>
      </c>
      <c r="M1040"/>
      <c r="N1040"/>
      <c r="O1040">
        <v>4.37</v>
      </c>
      <c r="P1040">
        <v>0.0</v>
      </c>
      <c r="Q1040">
        <v>28.65</v>
      </c>
      <c r="R1040"/>
      <c r="S1040"/>
      <c r="T1040"/>
      <c r="U1040"/>
      <c r="V1040"/>
      <c r="W1040">
        <v>18</v>
      </c>
    </row>
    <row r="1041" spans="1:23">
      <c r="A1041"/>
      <c r="B1041" t="s">
        <v>56</v>
      </c>
      <c r="C1041" t="s">
        <v>56</v>
      </c>
      <c r="D1041" t="s">
        <v>33</v>
      </c>
      <c r="E1041" t="s">
        <v>34</v>
      </c>
      <c r="F1041" t="str">
        <f>"0001357"</f>
        <v>0001357</v>
      </c>
      <c r="G1041">
        <v>1</v>
      </c>
      <c r="H1041" t="str">
        <f>"00000000"</f>
        <v>00000000</v>
      </c>
      <c r="I1041" t="s">
        <v>35</v>
      </c>
      <c r="J1041"/>
      <c r="K1041">
        <v>6.39</v>
      </c>
      <c r="L1041">
        <v>0.0</v>
      </c>
      <c r="M1041"/>
      <c r="N1041"/>
      <c r="O1041">
        <v>1.15</v>
      </c>
      <c r="P1041">
        <v>0.0</v>
      </c>
      <c r="Q1041">
        <v>7.54</v>
      </c>
      <c r="R1041"/>
      <c r="S1041"/>
      <c r="T1041"/>
      <c r="U1041"/>
      <c r="V1041"/>
      <c r="W1041">
        <v>18</v>
      </c>
    </row>
    <row r="1042" spans="1:23">
      <c r="A1042"/>
      <c r="B1042" t="s">
        <v>56</v>
      </c>
      <c r="C1042" t="s">
        <v>56</v>
      </c>
      <c r="D1042" t="s">
        <v>33</v>
      </c>
      <c r="E1042" t="s">
        <v>34</v>
      </c>
      <c r="F1042" t="str">
        <f>"0001358"</f>
        <v>0001358</v>
      </c>
      <c r="G1042">
        <v>1</v>
      </c>
      <c r="H1042" t="str">
        <f>"00000000"</f>
        <v>00000000</v>
      </c>
      <c r="I1042" t="s">
        <v>35</v>
      </c>
      <c r="J1042"/>
      <c r="K1042">
        <v>25.03</v>
      </c>
      <c r="L1042">
        <v>0.0</v>
      </c>
      <c r="M1042"/>
      <c r="N1042"/>
      <c r="O1042">
        <v>4.51</v>
      </c>
      <c r="P1042">
        <v>0.2</v>
      </c>
      <c r="Q1042">
        <v>29.73</v>
      </c>
      <c r="R1042"/>
      <c r="S1042"/>
      <c r="T1042"/>
      <c r="U1042"/>
      <c r="V1042"/>
      <c r="W1042">
        <v>18</v>
      </c>
    </row>
    <row r="1043" spans="1:23">
      <c r="A1043"/>
      <c r="B1043" t="s">
        <v>56</v>
      </c>
      <c r="C1043" t="s">
        <v>56</v>
      </c>
      <c r="D1043" t="s">
        <v>33</v>
      </c>
      <c r="E1043" t="s">
        <v>34</v>
      </c>
      <c r="F1043" t="str">
        <f>"0001359"</f>
        <v>0001359</v>
      </c>
      <c r="G1043">
        <v>1</v>
      </c>
      <c r="H1043" t="str">
        <f>"00000000"</f>
        <v>00000000</v>
      </c>
      <c r="I1043" t="s">
        <v>35</v>
      </c>
      <c r="J1043"/>
      <c r="K1043">
        <v>29.73</v>
      </c>
      <c r="L1043">
        <v>0.0</v>
      </c>
      <c r="M1043"/>
      <c r="N1043"/>
      <c r="O1043">
        <v>5.35</v>
      </c>
      <c r="P1043">
        <v>0.2</v>
      </c>
      <c r="Q1043">
        <v>35.28</v>
      </c>
      <c r="R1043"/>
      <c r="S1043"/>
      <c r="T1043"/>
      <c r="U1043"/>
      <c r="V1043"/>
      <c r="W1043">
        <v>18</v>
      </c>
    </row>
    <row r="1044" spans="1:23">
      <c r="A1044"/>
      <c r="B1044" t="s">
        <v>56</v>
      </c>
      <c r="C1044" t="s">
        <v>56</v>
      </c>
      <c r="D1044" t="s">
        <v>33</v>
      </c>
      <c r="E1044" t="s">
        <v>34</v>
      </c>
      <c r="F1044" t="str">
        <f>"0001360"</f>
        <v>0001360</v>
      </c>
      <c r="G1044">
        <v>1</v>
      </c>
      <c r="H1044" t="str">
        <f>"00000000"</f>
        <v>00000000</v>
      </c>
      <c r="I1044" t="s">
        <v>35</v>
      </c>
      <c r="J1044"/>
      <c r="K1044">
        <v>4.06</v>
      </c>
      <c r="L1044">
        <v>0.0</v>
      </c>
      <c r="M1044"/>
      <c r="N1044"/>
      <c r="O1044">
        <v>0.73</v>
      </c>
      <c r="P1044">
        <v>0.0</v>
      </c>
      <c r="Q1044">
        <v>4.8</v>
      </c>
      <c r="R1044"/>
      <c r="S1044"/>
      <c r="T1044"/>
      <c r="U1044"/>
      <c r="V1044"/>
      <c r="W1044">
        <v>18</v>
      </c>
    </row>
    <row r="1045" spans="1:23">
      <c r="A1045"/>
      <c r="B1045" t="s">
        <v>56</v>
      </c>
      <c r="C1045" t="s">
        <v>56</v>
      </c>
      <c r="D1045" t="s">
        <v>33</v>
      </c>
      <c r="E1045" t="s">
        <v>34</v>
      </c>
      <c r="F1045" t="str">
        <f>"0001361"</f>
        <v>0001361</v>
      </c>
      <c r="G1045">
        <v>1</v>
      </c>
      <c r="H1045" t="str">
        <f>"00000000"</f>
        <v>00000000</v>
      </c>
      <c r="I1045" t="s">
        <v>35</v>
      </c>
      <c r="J1045"/>
      <c r="K1045">
        <v>20.66</v>
      </c>
      <c r="L1045">
        <v>0.0</v>
      </c>
      <c r="M1045"/>
      <c r="N1045"/>
      <c r="O1045">
        <v>3.72</v>
      </c>
      <c r="P1045">
        <v>0.0</v>
      </c>
      <c r="Q1045">
        <v>24.38</v>
      </c>
      <c r="R1045"/>
      <c r="S1045"/>
      <c r="T1045"/>
      <c r="U1045"/>
      <c r="V1045"/>
      <c r="W1045">
        <v>18</v>
      </c>
    </row>
    <row r="1046" spans="1:23">
      <c r="A1046"/>
      <c r="B1046" t="s">
        <v>56</v>
      </c>
      <c r="C1046" t="s">
        <v>56</v>
      </c>
      <c r="D1046" t="s">
        <v>33</v>
      </c>
      <c r="E1046" t="s">
        <v>34</v>
      </c>
      <c r="F1046" t="str">
        <f>"0001362"</f>
        <v>0001362</v>
      </c>
      <c r="G1046">
        <v>1</v>
      </c>
      <c r="H1046" t="str">
        <f>"00000000"</f>
        <v>00000000</v>
      </c>
      <c r="I1046" t="s">
        <v>35</v>
      </c>
      <c r="J1046"/>
      <c r="K1046">
        <v>5.51</v>
      </c>
      <c r="L1046">
        <v>0.0</v>
      </c>
      <c r="M1046"/>
      <c r="N1046"/>
      <c r="O1046">
        <v>0.99</v>
      </c>
      <c r="P1046">
        <v>0.0</v>
      </c>
      <c r="Q1046">
        <v>6.5</v>
      </c>
      <c r="R1046"/>
      <c r="S1046"/>
      <c r="T1046"/>
      <c r="U1046"/>
      <c r="V1046"/>
      <c r="W1046">
        <v>18</v>
      </c>
    </row>
    <row r="1047" spans="1:23">
      <c r="A1047"/>
      <c r="B1047" t="s">
        <v>56</v>
      </c>
      <c r="C1047" t="s">
        <v>56</v>
      </c>
      <c r="D1047" t="s">
        <v>33</v>
      </c>
      <c r="E1047" t="s">
        <v>34</v>
      </c>
      <c r="F1047" t="str">
        <f>"0001363"</f>
        <v>0001363</v>
      </c>
      <c r="G1047">
        <v>1</v>
      </c>
      <c r="H1047" t="str">
        <f>"00000000"</f>
        <v>00000000</v>
      </c>
      <c r="I1047" t="s">
        <v>35</v>
      </c>
      <c r="J1047"/>
      <c r="K1047">
        <v>22.46</v>
      </c>
      <c r="L1047">
        <v>0.0</v>
      </c>
      <c r="M1047"/>
      <c r="N1047"/>
      <c r="O1047">
        <v>4.04</v>
      </c>
      <c r="P1047">
        <v>0.2</v>
      </c>
      <c r="Q1047">
        <v>26.7</v>
      </c>
      <c r="R1047"/>
      <c r="S1047"/>
      <c r="T1047"/>
      <c r="U1047"/>
      <c r="V1047"/>
      <c r="W1047">
        <v>18</v>
      </c>
    </row>
    <row r="1048" spans="1:23">
      <c r="A1048"/>
      <c r="B1048" t="s">
        <v>56</v>
      </c>
      <c r="C1048" t="s">
        <v>56</v>
      </c>
      <c r="D1048" t="s">
        <v>33</v>
      </c>
      <c r="E1048" t="s">
        <v>34</v>
      </c>
      <c r="F1048" t="str">
        <f>"0001364"</f>
        <v>0001364</v>
      </c>
      <c r="G1048">
        <v>1</v>
      </c>
      <c r="H1048" t="str">
        <f>"00000000"</f>
        <v>00000000</v>
      </c>
      <c r="I1048" t="s">
        <v>35</v>
      </c>
      <c r="J1048"/>
      <c r="K1048">
        <v>1.02</v>
      </c>
      <c r="L1048">
        <v>0.0</v>
      </c>
      <c r="M1048"/>
      <c r="N1048"/>
      <c r="O1048">
        <v>0.18</v>
      </c>
      <c r="P1048">
        <v>0.0</v>
      </c>
      <c r="Q1048">
        <v>1.2</v>
      </c>
      <c r="R1048"/>
      <c r="S1048"/>
      <c r="T1048"/>
      <c r="U1048"/>
      <c r="V1048"/>
      <c r="W1048">
        <v>18</v>
      </c>
    </row>
    <row r="1049" spans="1:23">
      <c r="A1049"/>
      <c r="B1049" t="s">
        <v>56</v>
      </c>
      <c r="C1049" t="s">
        <v>56</v>
      </c>
      <c r="D1049" t="s">
        <v>33</v>
      </c>
      <c r="E1049" t="s">
        <v>34</v>
      </c>
      <c r="F1049" t="str">
        <f>"0001365"</f>
        <v>0001365</v>
      </c>
      <c r="G1049">
        <v>1</v>
      </c>
      <c r="H1049" t="str">
        <f>"00000000"</f>
        <v>00000000</v>
      </c>
      <c r="I1049" t="s">
        <v>35</v>
      </c>
      <c r="J1049"/>
      <c r="K1049">
        <v>29.31</v>
      </c>
      <c r="L1049">
        <v>0.0</v>
      </c>
      <c r="M1049"/>
      <c r="N1049"/>
      <c r="O1049">
        <v>5.28</v>
      </c>
      <c r="P1049">
        <v>0.2</v>
      </c>
      <c r="Q1049">
        <v>34.79</v>
      </c>
      <c r="R1049"/>
      <c r="S1049"/>
      <c r="T1049"/>
      <c r="U1049"/>
      <c r="V1049"/>
      <c r="W1049">
        <v>18</v>
      </c>
    </row>
    <row r="1050" spans="1:23">
      <c r="A1050"/>
      <c r="B1050" t="s">
        <v>56</v>
      </c>
      <c r="C1050" t="s">
        <v>56</v>
      </c>
      <c r="D1050" t="s">
        <v>33</v>
      </c>
      <c r="E1050" t="s">
        <v>34</v>
      </c>
      <c r="F1050" t="str">
        <f>"0001366"</f>
        <v>0001366</v>
      </c>
      <c r="G1050">
        <v>1</v>
      </c>
      <c r="H1050" t="str">
        <f>"00000000"</f>
        <v>00000000</v>
      </c>
      <c r="I1050" t="s">
        <v>35</v>
      </c>
      <c r="J1050"/>
      <c r="K1050">
        <v>12.04</v>
      </c>
      <c r="L1050">
        <v>0.0</v>
      </c>
      <c r="M1050"/>
      <c r="N1050"/>
      <c r="O1050">
        <v>2.17</v>
      </c>
      <c r="P1050">
        <v>0.2</v>
      </c>
      <c r="Q1050">
        <v>14.41</v>
      </c>
      <c r="R1050"/>
      <c r="S1050"/>
      <c r="T1050"/>
      <c r="U1050"/>
      <c r="V1050"/>
      <c r="W1050">
        <v>18</v>
      </c>
    </row>
    <row r="1051" spans="1:23">
      <c r="A1051"/>
      <c r="B1051" t="s">
        <v>56</v>
      </c>
      <c r="C1051" t="s">
        <v>56</v>
      </c>
      <c r="D1051" t="s">
        <v>33</v>
      </c>
      <c r="E1051" t="s">
        <v>34</v>
      </c>
      <c r="F1051" t="str">
        <f>"0001367"</f>
        <v>0001367</v>
      </c>
      <c r="G1051">
        <v>1</v>
      </c>
      <c r="H1051" t="str">
        <f>"00000000"</f>
        <v>00000000</v>
      </c>
      <c r="I1051" t="s">
        <v>35</v>
      </c>
      <c r="J1051"/>
      <c r="K1051">
        <v>2.97</v>
      </c>
      <c r="L1051">
        <v>0.0</v>
      </c>
      <c r="M1051"/>
      <c r="N1051"/>
      <c r="O1051">
        <v>0.53</v>
      </c>
      <c r="P1051">
        <v>0.0</v>
      </c>
      <c r="Q1051">
        <v>3.5</v>
      </c>
      <c r="R1051"/>
      <c r="S1051"/>
      <c r="T1051"/>
      <c r="U1051"/>
      <c r="V1051"/>
      <c r="W1051">
        <v>18</v>
      </c>
    </row>
    <row r="1052" spans="1:23">
      <c r="A1052"/>
      <c r="B1052" t="s">
        <v>56</v>
      </c>
      <c r="C1052" t="s">
        <v>56</v>
      </c>
      <c r="D1052" t="s">
        <v>33</v>
      </c>
      <c r="E1052" t="s">
        <v>34</v>
      </c>
      <c r="F1052" t="str">
        <f>"0001368"</f>
        <v>0001368</v>
      </c>
      <c r="G1052">
        <v>1</v>
      </c>
      <c r="H1052" t="str">
        <f>"00000000"</f>
        <v>00000000</v>
      </c>
      <c r="I1052" t="s">
        <v>35</v>
      </c>
      <c r="J1052"/>
      <c r="K1052">
        <v>96.72</v>
      </c>
      <c r="L1052">
        <v>0.0</v>
      </c>
      <c r="M1052"/>
      <c r="N1052"/>
      <c r="O1052">
        <v>17.41</v>
      </c>
      <c r="P1052">
        <v>0.0</v>
      </c>
      <c r="Q1052">
        <v>114.14</v>
      </c>
      <c r="R1052"/>
      <c r="S1052"/>
      <c r="T1052"/>
      <c r="U1052"/>
      <c r="V1052"/>
      <c r="W1052">
        <v>18</v>
      </c>
    </row>
    <row r="1053" spans="1:23">
      <c r="A1053"/>
      <c r="B1053" t="s">
        <v>56</v>
      </c>
      <c r="C1053" t="s">
        <v>56</v>
      </c>
      <c r="D1053" t="s">
        <v>33</v>
      </c>
      <c r="E1053" t="s">
        <v>34</v>
      </c>
      <c r="F1053" t="str">
        <f>"0001369"</f>
        <v>0001369</v>
      </c>
      <c r="G1053">
        <v>1</v>
      </c>
      <c r="H1053" t="str">
        <f>"00000000"</f>
        <v>00000000</v>
      </c>
      <c r="I1053" t="s">
        <v>35</v>
      </c>
      <c r="J1053"/>
      <c r="K1053">
        <v>4.07</v>
      </c>
      <c r="L1053">
        <v>0.0</v>
      </c>
      <c r="M1053"/>
      <c r="N1053"/>
      <c r="O1053">
        <v>0.73</v>
      </c>
      <c r="P1053">
        <v>0.0</v>
      </c>
      <c r="Q1053">
        <v>4.8</v>
      </c>
      <c r="R1053"/>
      <c r="S1053"/>
      <c r="T1053"/>
      <c r="U1053"/>
      <c r="V1053"/>
      <c r="W1053">
        <v>18</v>
      </c>
    </row>
    <row r="1054" spans="1:23">
      <c r="A1054"/>
      <c r="B1054" t="s">
        <v>56</v>
      </c>
      <c r="C1054" t="s">
        <v>56</v>
      </c>
      <c r="D1054" t="s">
        <v>33</v>
      </c>
      <c r="E1054" t="s">
        <v>34</v>
      </c>
      <c r="F1054" t="str">
        <f>"0001370"</f>
        <v>0001370</v>
      </c>
      <c r="G1054">
        <v>1</v>
      </c>
      <c r="H1054" t="str">
        <f>"00000000"</f>
        <v>00000000</v>
      </c>
      <c r="I1054" t="s">
        <v>35</v>
      </c>
      <c r="J1054"/>
      <c r="K1054">
        <v>15.18</v>
      </c>
      <c r="L1054">
        <v>0.0</v>
      </c>
      <c r="M1054"/>
      <c r="N1054"/>
      <c r="O1054">
        <v>2.73</v>
      </c>
      <c r="P1054">
        <v>0.2</v>
      </c>
      <c r="Q1054">
        <v>18.11</v>
      </c>
      <c r="R1054"/>
      <c r="S1054"/>
      <c r="T1054"/>
      <c r="U1054"/>
      <c r="V1054"/>
      <c r="W1054">
        <v>18</v>
      </c>
    </row>
    <row r="1055" spans="1:23">
      <c r="A1055"/>
      <c r="B1055" t="s">
        <v>56</v>
      </c>
      <c r="C1055" t="s">
        <v>56</v>
      </c>
      <c r="D1055" t="s">
        <v>33</v>
      </c>
      <c r="E1055" t="s">
        <v>34</v>
      </c>
      <c r="F1055" t="str">
        <f>"0001371"</f>
        <v>0001371</v>
      </c>
      <c r="G1055">
        <v>1</v>
      </c>
      <c r="H1055" t="str">
        <f>"00000000"</f>
        <v>00000000</v>
      </c>
      <c r="I1055" t="s">
        <v>35</v>
      </c>
      <c r="J1055"/>
      <c r="K1055">
        <v>25.38</v>
      </c>
      <c r="L1055">
        <v>0.0</v>
      </c>
      <c r="M1055"/>
      <c r="N1055"/>
      <c r="O1055">
        <v>4.57</v>
      </c>
      <c r="P1055">
        <v>0.0</v>
      </c>
      <c r="Q1055">
        <v>29.95</v>
      </c>
      <c r="R1055"/>
      <c r="S1055"/>
      <c r="T1055"/>
      <c r="U1055"/>
      <c r="V1055"/>
      <c r="W1055">
        <v>18</v>
      </c>
    </row>
    <row r="1056" spans="1:23">
      <c r="A1056"/>
      <c r="B1056" t="s">
        <v>56</v>
      </c>
      <c r="C1056" t="s">
        <v>56</v>
      </c>
      <c r="D1056" t="s">
        <v>33</v>
      </c>
      <c r="E1056" t="s">
        <v>34</v>
      </c>
      <c r="F1056" t="str">
        <f>"0001372"</f>
        <v>0001372</v>
      </c>
      <c r="G1056">
        <v>1</v>
      </c>
      <c r="H1056" t="str">
        <f>"00000000"</f>
        <v>00000000</v>
      </c>
      <c r="I1056" t="s">
        <v>35</v>
      </c>
      <c r="J1056"/>
      <c r="K1056">
        <v>9.75</v>
      </c>
      <c r="L1056">
        <v>0.0</v>
      </c>
      <c r="M1056"/>
      <c r="N1056"/>
      <c r="O1056">
        <v>1.75</v>
      </c>
      <c r="P1056">
        <v>0.0</v>
      </c>
      <c r="Q1056">
        <v>11.5</v>
      </c>
      <c r="R1056"/>
      <c r="S1056"/>
      <c r="T1056"/>
      <c r="U1056"/>
      <c r="V1056"/>
      <c r="W1056">
        <v>18</v>
      </c>
    </row>
    <row r="1057" spans="1:23">
      <c r="A1057"/>
      <c r="B1057" t="s">
        <v>56</v>
      </c>
      <c r="C1057" t="s">
        <v>56</v>
      </c>
      <c r="D1057" t="s">
        <v>33</v>
      </c>
      <c r="E1057" t="s">
        <v>34</v>
      </c>
      <c r="F1057" t="str">
        <f>"0001373"</f>
        <v>0001373</v>
      </c>
      <c r="G1057">
        <v>1</v>
      </c>
      <c r="H1057" t="str">
        <f>"00000000"</f>
        <v>00000000</v>
      </c>
      <c r="I1057" t="s">
        <v>35</v>
      </c>
      <c r="J1057"/>
      <c r="K1057">
        <v>7.54</v>
      </c>
      <c r="L1057">
        <v>0.0</v>
      </c>
      <c r="M1057"/>
      <c r="N1057"/>
      <c r="O1057">
        <v>1.36</v>
      </c>
      <c r="P1057">
        <v>0.2</v>
      </c>
      <c r="Q1057">
        <v>9.09</v>
      </c>
      <c r="R1057"/>
      <c r="S1057"/>
      <c r="T1057"/>
      <c r="U1057"/>
      <c r="V1057"/>
      <c r="W1057">
        <v>18</v>
      </c>
    </row>
    <row r="1058" spans="1:23">
      <c r="A1058"/>
      <c r="B1058" t="s">
        <v>56</v>
      </c>
      <c r="C1058" t="s">
        <v>56</v>
      </c>
      <c r="D1058" t="s">
        <v>33</v>
      </c>
      <c r="E1058" t="s">
        <v>34</v>
      </c>
      <c r="F1058" t="str">
        <f>"0001374"</f>
        <v>0001374</v>
      </c>
      <c r="G1058">
        <v>1</v>
      </c>
      <c r="H1058" t="str">
        <f>"00000000"</f>
        <v>00000000</v>
      </c>
      <c r="I1058" t="s">
        <v>35</v>
      </c>
      <c r="J1058"/>
      <c r="K1058">
        <v>19.67</v>
      </c>
      <c r="L1058">
        <v>0.0</v>
      </c>
      <c r="M1058"/>
      <c r="N1058"/>
      <c r="O1058">
        <v>3.54</v>
      </c>
      <c r="P1058">
        <v>0.2</v>
      </c>
      <c r="Q1058">
        <v>23.41</v>
      </c>
      <c r="R1058"/>
      <c r="S1058"/>
      <c r="T1058"/>
      <c r="U1058"/>
      <c r="V1058"/>
      <c r="W1058">
        <v>18</v>
      </c>
    </row>
    <row r="1059" spans="1:23">
      <c r="A1059"/>
      <c r="B1059" t="s">
        <v>56</v>
      </c>
      <c r="C1059" t="s">
        <v>56</v>
      </c>
      <c r="D1059" t="s">
        <v>33</v>
      </c>
      <c r="E1059" t="s">
        <v>34</v>
      </c>
      <c r="F1059" t="str">
        <f>"0001375"</f>
        <v>0001375</v>
      </c>
      <c r="G1059">
        <v>1</v>
      </c>
      <c r="H1059" t="str">
        <f>"00000000"</f>
        <v>00000000</v>
      </c>
      <c r="I1059" t="s">
        <v>35</v>
      </c>
      <c r="J1059"/>
      <c r="K1059">
        <v>15.34</v>
      </c>
      <c r="L1059">
        <v>0.0</v>
      </c>
      <c r="M1059"/>
      <c r="N1059"/>
      <c r="O1059">
        <v>2.76</v>
      </c>
      <c r="P1059">
        <v>0.0</v>
      </c>
      <c r="Q1059">
        <v>18.1</v>
      </c>
      <c r="R1059"/>
      <c r="S1059"/>
      <c r="T1059"/>
      <c r="U1059"/>
      <c r="V1059"/>
      <c r="W1059">
        <v>18</v>
      </c>
    </row>
    <row r="1060" spans="1:23">
      <c r="A1060"/>
      <c r="B1060" t="s">
        <v>56</v>
      </c>
      <c r="C1060" t="s">
        <v>56</v>
      </c>
      <c r="D1060" t="s">
        <v>33</v>
      </c>
      <c r="E1060" t="s">
        <v>34</v>
      </c>
      <c r="F1060" t="str">
        <f>"0001376"</f>
        <v>0001376</v>
      </c>
      <c r="G1060">
        <v>1</v>
      </c>
      <c r="H1060" t="str">
        <f>"00000000"</f>
        <v>00000000</v>
      </c>
      <c r="I1060" t="s">
        <v>35</v>
      </c>
      <c r="J1060"/>
      <c r="K1060">
        <v>29.58</v>
      </c>
      <c r="L1060">
        <v>0.0</v>
      </c>
      <c r="M1060"/>
      <c r="N1060"/>
      <c r="O1060">
        <v>5.32</v>
      </c>
      <c r="P1060">
        <v>0.2</v>
      </c>
      <c r="Q1060">
        <v>35.1</v>
      </c>
      <c r="R1060"/>
      <c r="S1060"/>
      <c r="T1060"/>
      <c r="U1060"/>
      <c r="V1060"/>
      <c r="W1060">
        <v>18</v>
      </c>
    </row>
    <row r="1061" spans="1:23">
      <c r="A1061"/>
      <c r="B1061" t="s">
        <v>56</v>
      </c>
      <c r="C1061" t="s">
        <v>56</v>
      </c>
      <c r="D1061" t="s">
        <v>33</v>
      </c>
      <c r="E1061" t="s">
        <v>34</v>
      </c>
      <c r="F1061" t="str">
        <f>"0001377"</f>
        <v>0001377</v>
      </c>
      <c r="G1061">
        <v>1</v>
      </c>
      <c r="H1061" t="str">
        <f>"00000000"</f>
        <v>00000000</v>
      </c>
      <c r="I1061" t="s">
        <v>35</v>
      </c>
      <c r="J1061"/>
      <c r="K1061">
        <v>7.96</v>
      </c>
      <c r="L1061">
        <v>0.0</v>
      </c>
      <c r="M1061"/>
      <c r="N1061"/>
      <c r="O1061">
        <v>1.43</v>
      </c>
      <c r="P1061">
        <v>0.0</v>
      </c>
      <c r="Q1061">
        <v>9.39</v>
      </c>
      <c r="R1061"/>
      <c r="S1061"/>
      <c r="T1061"/>
      <c r="U1061"/>
      <c r="V1061"/>
      <c r="W1061">
        <v>18</v>
      </c>
    </row>
    <row r="1062" spans="1:23">
      <c r="A1062"/>
      <c r="B1062" t="s">
        <v>58</v>
      </c>
      <c r="C1062" t="s">
        <v>58</v>
      </c>
      <c r="D1062" t="s">
        <v>33</v>
      </c>
      <c r="E1062" t="s">
        <v>34</v>
      </c>
      <c r="F1062" t="str">
        <f>"0001378"</f>
        <v>0001378</v>
      </c>
      <c r="G1062">
        <v>1</v>
      </c>
      <c r="H1062" t="str">
        <f>"00000000"</f>
        <v>00000000</v>
      </c>
      <c r="I1062" t="s">
        <v>35</v>
      </c>
      <c r="J1062"/>
      <c r="K1062">
        <v>56.69</v>
      </c>
      <c r="L1062">
        <v>0.0</v>
      </c>
      <c r="M1062"/>
      <c r="N1062"/>
      <c r="O1062">
        <v>10.21</v>
      </c>
      <c r="P1062">
        <v>0.4</v>
      </c>
      <c r="Q1062">
        <v>67.3</v>
      </c>
      <c r="R1062"/>
      <c r="S1062"/>
      <c r="T1062"/>
      <c r="U1062"/>
      <c r="V1062"/>
      <c r="W1062">
        <v>18</v>
      </c>
    </row>
    <row r="1063" spans="1:23">
      <c r="A1063"/>
      <c r="B1063" t="s">
        <v>58</v>
      </c>
      <c r="C1063" t="s">
        <v>58</v>
      </c>
      <c r="D1063" t="s">
        <v>33</v>
      </c>
      <c r="E1063" t="s">
        <v>34</v>
      </c>
      <c r="F1063" t="str">
        <f>"0001379"</f>
        <v>0001379</v>
      </c>
      <c r="G1063">
        <v>1</v>
      </c>
      <c r="H1063" t="str">
        <f>"00000000"</f>
        <v>00000000</v>
      </c>
      <c r="I1063" t="s">
        <v>35</v>
      </c>
      <c r="J1063"/>
      <c r="K1063">
        <v>2.61</v>
      </c>
      <c r="L1063">
        <v>0.0</v>
      </c>
      <c r="M1063"/>
      <c r="N1063"/>
      <c r="O1063">
        <v>0.47</v>
      </c>
      <c r="P1063">
        <v>0.0</v>
      </c>
      <c r="Q1063">
        <v>3.08</v>
      </c>
      <c r="R1063"/>
      <c r="S1063"/>
      <c r="T1063"/>
      <c r="U1063"/>
      <c r="V1063"/>
      <c r="W1063">
        <v>18</v>
      </c>
    </row>
    <row r="1064" spans="1:23">
      <c r="A1064"/>
      <c r="B1064" t="s">
        <v>58</v>
      </c>
      <c r="C1064" t="s">
        <v>58</v>
      </c>
      <c r="D1064" t="s">
        <v>33</v>
      </c>
      <c r="E1064" t="s">
        <v>34</v>
      </c>
      <c r="F1064" t="str">
        <f>"0001380"</f>
        <v>0001380</v>
      </c>
      <c r="G1064">
        <v>1</v>
      </c>
      <c r="H1064" t="str">
        <f>"00000000"</f>
        <v>00000000</v>
      </c>
      <c r="I1064" t="s">
        <v>35</v>
      </c>
      <c r="J1064"/>
      <c r="K1064">
        <v>4.85</v>
      </c>
      <c r="L1064">
        <v>0.0</v>
      </c>
      <c r="M1064"/>
      <c r="N1064"/>
      <c r="O1064">
        <v>0.87</v>
      </c>
      <c r="P1064">
        <v>0.0</v>
      </c>
      <c r="Q1064">
        <v>5.72</v>
      </c>
      <c r="R1064"/>
      <c r="S1064"/>
      <c r="T1064"/>
      <c r="U1064"/>
      <c r="V1064"/>
      <c r="W1064">
        <v>18</v>
      </c>
    </row>
    <row r="1065" spans="1:23">
      <c r="A1065"/>
      <c r="B1065" t="s">
        <v>58</v>
      </c>
      <c r="C1065" t="s">
        <v>58</v>
      </c>
      <c r="D1065" t="s">
        <v>33</v>
      </c>
      <c r="E1065" t="s">
        <v>34</v>
      </c>
      <c r="F1065" t="str">
        <f>"0001381"</f>
        <v>0001381</v>
      </c>
      <c r="G1065">
        <v>1</v>
      </c>
      <c r="H1065" t="str">
        <f>"00000000"</f>
        <v>00000000</v>
      </c>
      <c r="I1065" t="s">
        <v>35</v>
      </c>
      <c r="J1065"/>
      <c r="K1065">
        <v>55.99</v>
      </c>
      <c r="L1065">
        <v>0.0</v>
      </c>
      <c r="M1065"/>
      <c r="N1065"/>
      <c r="O1065">
        <v>10.08</v>
      </c>
      <c r="P1065">
        <v>0.4</v>
      </c>
      <c r="Q1065">
        <v>66.46</v>
      </c>
      <c r="R1065"/>
      <c r="S1065"/>
      <c r="T1065"/>
      <c r="U1065"/>
      <c r="V1065"/>
      <c r="W1065">
        <v>18</v>
      </c>
    </row>
    <row r="1066" spans="1:23">
      <c r="A1066"/>
      <c r="B1066" t="s">
        <v>58</v>
      </c>
      <c r="C1066" t="s">
        <v>58</v>
      </c>
      <c r="D1066" t="s">
        <v>33</v>
      </c>
      <c r="E1066" t="s">
        <v>34</v>
      </c>
      <c r="F1066" t="str">
        <f>"0001382"</f>
        <v>0001382</v>
      </c>
      <c r="G1066">
        <v>1</v>
      </c>
      <c r="H1066" t="str">
        <f>"00000000"</f>
        <v>00000000</v>
      </c>
      <c r="I1066" t="s">
        <v>35</v>
      </c>
      <c r="J1066"/>
      <c r="K1066">
        <v>13.67</v>
      </c>
      <c r="L1066">
        <v>0.0</v>
      </c>
      <c r="M1066"/>
      <c r="N1066"/>
      <c r="O1066">
        <v>2.46</v>
      </c>
      <c r="P1066">
        <v>0.0</v>
      </c>
      <c r="Q1066">
        <v>16.12</v>
      </c>
      <c r="R1066"/>
      <c r="S1066"/>
      <c r="T1066"/>
      <c r="U1066"/>
      <c r="V1066"/>
      <c r="W1066">
        <v>18</v>
      </c>
    </row>
    <row r="1067" spans="1:23">
      <c r="A1067"/>
      <c r="B1067" t="s">
        <v>58</v>
      </c>
      <c r="C1067" t="s">
        <v>58</v>
      </c>
      <c r="D1067" t="s">
        <v>33</v>
      </c>
      <c r="E1067" t="s">
        <v>34</v>
      </c>
      <c r="F1067" t="str">
        <f>"0001383"</f>
        <v>0001383</v>
      </c>
      <c r="G1067">
        <v>1</v>
      </c>
      <c r="H1067" t="str">
        <f>"00000000"</f>
        <v>00000000</v>
      </c>
      <c r="I1067" t="s">
        <v>35</v>
      </c>
      <c r="J1067"/>
      <c r="K1067">
        <v>5.08</v>
      </c>
      <c r="L1067">
        <v>0.0</v>
      </c>
      <c r="M1067"/>
      <c r="N1067"/>
      <c r="O1067">
        <v>0.92</v>
      </c>
      <c r="P1067">
        <v>0.0</v>
      </c>
      <c r="Q1067">
        <v>6.0</v>
      </c>
      <c r="R1067"/>
      <c r="S1067"/>
      <c r="T1067"/>
      <c r="U1067"/>
      <c r="V1067"/>
      <c r="W1067">
        <v>18</v>
      </c>
    </row>
    <row r="1068" spans="1:23">
      <c r="A1068"/>
      <c r="B1068" t="s">
        <v>58</v>
      </c>
      <c r="C1068" t="s">
        <v>58</v>
      </c>
      <c r="D1068" t="s">
        <v>33</v>
      </c>
      <c r="E1068" t="s">
        <v>34</v>
      </c>
      <c r="F1068" t="str">
        <f>"0001384"</f>
        <v>0001384</v>
      </c>
      <c r="G1068">
        <v>1</v>
      </c>
      <c r="H1068" t="str">
        <f>"00000000"</f>
        <v>00000000</v>
      </c>
      <c r="I1068" t="s">
        <v>35</v>
      </c>
      <c r="J1068"/>
      <c r="K1068">
        <v>5.7</v>
      </c>
      <c r="L1068">
        <v>0.0</v>
      </c>
      <c r="M1068"/>
      <c r="N1068"/>
      <c r="O1068">
        <v>1.03</v>
      </c>
      <c r="P1068">
        <v>0.0</v>
      </c>
      <c r="Q1068">
        <v>6.73</v>
      </c>
      <c r="R1068"/>
      <c r="S1068"/>
      <c r="T1068"/>
      <c r="U1068"/>
      <c r="V1068"/>
      <c r="W1068">
        <v>18</v>
      </c>
    </row>
    <row r="1069" spans="1:23">
      <c r="A1069"/>
      <c r="B1069" t="s">
        <v>58</v>
      </c>
      <c r="C1069" t="s">
        <v>58</v>
      </c>
      <c r="D1069" t="s">
        <v>33</v>
      </c>
      <c r="E1069" t="s">
        <v>34</v>
      </c>
      <c r="F1069" t="str">
        <f>"0001385"</f>
        <v>0001385</v>
      </c>
      <c r="G1069">
        <v>1</v>
      </c>
      <c r="H1069" t="str">
        <f>"00000000"</f>
        <v>00000000</v>
      </c>
      <c r="I1069" t="s">
        <v>35</v>
      </c>
      <c r="J1069"/>
      <c r="K1069">
        <v>7.2</v>
      </c>
      <c r="L1069">
        <v>0.0</v>
      </c>
      <c r="M1069"/>
      <c r="N1069"/>
      <c r="O1069">
        <v>1.3</v>
      </c>
      <c r="P1069">
        <v>0.0</v>
      </c>
      <c r="Q1069">
        <v>8.5</v>
      </c>
      <c r="R1069"/>
      <c r="S1069"/>
      <c r="T1069"/>
      <c r="U1069"/>
      <c r="V1069"/>
      <c r="W1069">
        <v>18</v>
      </c>
    </row>
    <row r="1070" spans="1:23">
      <c r="A1070"/>
      <c r="B1070" t="s">
        <v>58</v>
      </c>
      <c r="C1070" t="s">
        <v>58</v>
      </c>
      <c r="D1070" t="s">
        <v>33</v>
      </c>
      <c r="E1070" t="s">
        <v>34</v>
      </c>
      <c r="F1070" t="str">
        <f>"0001386"</f>
        <v>0001386</v>
      </c>
      <c r="G1070">
        <v>1</v>
      </c>
      <c r="H1070" t="str">
        <f>"00000000"</f>
        <v>00000000</v>
      </c>
      <c r="I1070" t="s">
        <v>35</v>
      </c>
      <c r="J1070"/>
      <c r="K1070">
        <v>8.33</v>
      </c>
      <c r="L1070">
        <v>0.0</v>
      </c>
      <c r="M1070"/>
      <c r="N1070"/>
      <c r="O1070">
        <v>1.5</v>
      </c>
      <c r="P1070">
        <v>0.0</v>
      </c>
      <c r="Q1070">
        <v>9.83</v>
      </c>
      <c r="R1070"/>
      <c r="S1070"/>
      <c r="T1070"/>
      <c r="U1070"/>
      <c r="V1070"/>
      <c r="W1070">
        <v>18</v>
      </c>
    </row>
    <row r="1071" spans="1:23">
      <c r="A1071"/>
      <c r="B1071" t="s">
        <v>58</v>
      </c>
      <c r="C1071" t="s">
        <v>58</v>
      </c>
      <c r="D1071" t="s">
        <v>33</v>
      </c>
      <c r="E1071" t="s">
        <v>34</v>
      </c>
      <c r="F1071" t="str">
        <f>"0001387"</f>
        <v>0001387</v>
      </c>
      <c r="G1071">
        <v>1</v>
      </c>
      <c r="H1071" t="str">
        <f>"00000000"</f>
        <v>00000000</v>
      </c>
      <c r="I1071" t="s">
        <v>35</v>
      </c>
      <c r="J1071"/>
      <c r="K1071">
        <v>58.02</v>
      </c>
      <c r="L1071">
        <v>0.0</v>
      </c>
      <c r="M1071"/>
      <c r="N1071"/>
      <c r="O1071">
        <v>10.44</v>
      </c>
      <c r="P1071">
        <v>0.0</v>
      </c>
      <c r="Q1071">
        <v>68.47</v>
      </c>
      <c r="R1071"/>
      <c r="S1071"/>
      <c r="T1071"/>
      <c r="U1071"/>
      <c r="V1071"/>
      <c r="W1071">
        <v>18</v>
      </c>
    </row>
    <row r="1072" spans="1:23">
      <c r="A1072"/>
      <c r="B1072" t="s">
        <v>58</v>
      </c>
      <c r="C1072" t="s">
        <v>58</v>
      </c>
      <c r="D1072" t="s">
        <v>33</v>
      </c>
      <c r="E1072" t="s">
        <v>34</v>
      </c>
      <c r="F1072" t="str">
        <f>"0001388"</f>
        <v>0001388</v>
      </c>
      <c r="G1072">
        <v>1</v>
      </c>
      <c r="H1072" t="str">
        <f>"00000000"</f>
        <v>00000000</v>
      </c>
      <c r="I1072" t="s">
        <v>35</v>
      </c>
      <c r="J1072"/>
      <c r="K1072">
        <v>60.64</v>
      </c>
      <c r="L1072">
        <v>0.0</v>
      </c>
      <c r="M1072"/>
      <c r="N1072"/>
      <c r="O1072">
        <v>10.91</v>
      </c>
      <c r="P1072">
        <v>0.0</v>
      </c>
      <c r="Q1072">
        <v>71.55</v>
      </c>
      <c r="R1072"/>
      <c r="S1072"/>
      <c r="T1072"/>
      <c r="U1072"/>
      <c r="V1072"/>
      <c r="W1072">
        <v>18</v>
      </c>
    </row>
    <row r="1073" spans="1:23">
      <c r="A1073"/>
      <c r="B1073" t="s">
        <v>58</v>
      </c>
      <c r="C1073" t="s">
        <v>58</v>
      </c>
      <c r="D1073" t="s">
        <v>33</v>
      </c>
      <c r="E1073" t="s">
        <v>34</v>
      </c>
      <c r="F1073" t="str">
        <f>"0001389"</f>
        <v>0001389</v>
      </c>
      <c r="G1073">
        <v>1</v>
      </c>
      <c r="H1073" t="str">
        <f>"00000000"</f>
        <v>00000000</v>
      </c>
      <c r="I1073" t="s">
        <v>35</v>
      </c>
      <c r="J1073"/>
      <c r="K1073">
        <v>15.82</v>
      </c>
      <c r="L1073">
        <v>0.0</v>
      </c>
      <c r="M1073"/>
      <c r="N1073"/>
      <c r="O1073">
        <v>2.85</v>
      </c>
      <c r="P1073">
        <v>0.0</v>
      </c>
      <c r="Q1073">
        <v>18.67</v>
      </c>
      <c r="R1073"/>
      <c r="S1073"/>
      <c r="T1073"/>
      <c r="U1073"/>
      <c r="V1073"/>
      <c r="W1073">
        <v>18</v>
      </c>
    </row>
    <row r="1074" spans="1:23">
      <c r="A1074"/>
      <c r="B1074" t="s">
        <v>58</v>
      </c>
      <c r="C1074" t="s">
        <v>58</v>
      </c>
      <c r="D1074" t="s">
        <v>33</v>
      </c>
      <c r="E1074" t="s">
        <v>34</v>
      </c>
      <c r="F1074" t="str">
        <f>"0001390"</f>
        <v>0001390</v>
      </c>
      <c r="G1074">
        <v>1</v>
      </c>
      <c r="H1074" t="str">
        <f>"00000000"</f>
        <v>00000000</v>
      </c>
      <c r="I1074" t="s">
        <v>35</v>
      </c>
      <c r="J1074"/>
      <c r="K1074">
        <v>29.45</v>
      </c>
      <c r="L1074">
        <v>0.0</v>
      </c>
      <c r="M1074"/>
      <c r="N1074"/>
      <c r="O1074">
        <v>5.3</v>
      </c>
      <c r="P1074">
        <v>0.2</v>
      </c>
      <c r="Q1074">
        <v>34.96</v>
      </c>
      <c r="R1074"/>
      <c r="S1074"/>
      <c r="T1074"/>
      <c r="U1074"/>
      <c r="V1074"/>
      <c r="W1074">
        <v>18</v>
      </c>
    </row>
    <row r="1075" spans="1:23">
      <c r="A1075"/>
      <c r="B1075" t="s">
        <v>58</v>
      </c>
      <c r="C1075" t="s">
        <v>58</v>
      </c>
      <c r="D1075" t="s">
        <v>33</v>
      </c>
      <c r="E1075" t="s">
        <v>34</v>
      </c>
      <c r="F1075" t="str">
        <f>"0001391"</f>
        <v>0001391</v>
      </c>
      <c r="G1075">
        <v>1</v>
      </c>
      <c r="H1075" t="str">
        <f>"00000000"</f>
        <v>00000000</v>
      </c>
      <c r="I1075" t="s">
        <v>35</v>
      </c>
      <c r="J1075"/>
      <c r="K1075">
        <v>3.81</v>
      </c>
      <c r="L1075">
        <v>0.0</v>
      </c>
      <c r="M1075"/>
      <c r="N1075"/>
      <c r="O1075">
        <v>0.69</v>
      </c>
      <c r="P1075">
        <v>0.0</v>
      </c>
      <c r="Q1075">
        <v>4.5</v>
      </c>
      <c r="R1075"/>
      <c r="S1075"/>
      <c r="T1075"/>
      <c r="U1075"/>
      <c r="V1075"/>
      <c r="W1075">
        <v>18</v>
      </c>
    </row>
    <row r="1076" spans="1:23">
      <c r="A1076"/>
      <c r="B1076" t="s">
        <v>58</v>
      </c>
      <c r="C1076" t="s">
        <v>58</v>
      </c>
      <c r="D1076" t="s">
        <v>33</v>
      </c>
      <c r="E1076" t="s">
        <v>34</v>
      </c>
      <c r="F1076" t="str">
        <f>"0001392"</f>
        <v>0001392</v>
      </c>
      <c r="G1076">
        <v>1</v>
      </c>
      <c r="H1076" t="str">
        <f>"00000000"</f>
        <v>00000000</v>
      </c>
      <c r="I1076" t="s">
        <v>35</v>
      </c>
      <c r="J1076"/>
      <c r="K1076">
        <v>16.0</v>
      </c>
      <c r="L1076">
        <v>0.0</v>
      </c>
      <c r="M1076"/>
      <c r="N1076"/>
      <c r="O1076">
        <v>2.88</v>
      </c>
      <c r="P1076">
        <v>0.0</v>
      </c>
      <c r="Q1076">
        <v>18.88</v>
      </c>
      <c r="R1076"/>
      <c r="S1076"/>
      <c r="T1076"/>
      <c r="U1076"/>
      <c r="V1076"/>
      <c r="W1076">
        <v>18</v>
      </c>
    </row>
    <row r="1077" spans="1:23">
      <c r="A1077"/>
      <c r="B1077" t="s">
        <v>58</v>
      </c>
      <c r="C1077" t="s">
        <v>58</v>
      </c>
      <c r="D1077" t="s">
        <v>33</v>
      </c>
      <c r="E1077" t="s">
        <v>34</v>
      </c>
      <c r="F1077" t="str">
        <f>"0001393"</f>
        <v>0001393</v>
      </c>
      <c r="G1077">
        <v>1</v>
      </c>
      <c r="H1077" t="str">
        <f>"00000000"</f>
        <v>00000000</v>
      </c>
      <c r="I1077" t="s">
        <v>35</v>
      </c>
      <c r="J1077"/>
      <c r="K1077">
        <v>26.58</v>
      </c>
      <c r="L1077">
        <v>0.0</v>
      </c>
      <c r="M1077"/>
      <c r="N1077"/>
      <c r="O1077">
        <v>4.78</v>
      </c>
      <c r="P1077">
        <v>0.0</v>
      </c>
      <c r="Q1077">
        <v>31.37</v>
      </c>
      <c r="R1077"/>
      <c r="S1077"/>
      <c r="T1077"/>
      <c r="U1077"/>
      <c r="V1077"/>
      <c r="W1077">
        <v>18</v>
      </c>
    </row>
    <row r="1078" spans="1:23">
      <c r="A1078"/>
      <c r="B1078" t="s">
        <v>58</v>
      </c>
      <c r="C1078" t="s">
        <v>58</v>
      </c>
      <c r="D1078" t="s">
        <v>33</v>
      </c>
      <c r="E1078" t="s">
        <v>34</v>
      </c>
      <c r="F1078" t="str">
        <f>"0001394"</f>
        <v>0001394</v>
      </c>
      <c r="G1078">
        <v>1</v>
      </c>
      <c r="H1078" t="str">
        <f>"00000000"</f>
        <v>00000000</v>
      </c>
      <c r="I1078" t="s">
        <v>35</v>
      </c>
      <c r="J1078"/>
      <c r="K1078">
        <v>3.39</v>
      </c>
      <c r="L1078">
        <v>0.0</v>
      </c>
      <c r="M1078"/>
      <c r="N1078"/>
      <c r="O1078">
        <v>0.61</v>
      </c>
      <c r="P1078">
        <v>0.0</v>
      </c>
      <c r="Q1078">
        <v>4.0</v>
      </c>
      <c r="R1078"/>
      <c r="S1078"/>
      <c r="T1078"/>
      <c r="U1078"/>
      <c r="V1078"/>
      <c r="W1078">
        <v>18</v>
      </c>
    </row>
    <row r="1079" spans="1:23">
      <c r="A1079"/>
      <c r="B1079" t="s">
        <v>58</v>
      </c>
      <c r="C1079" t="s">
        <v>58</v>
      </c>
      <c r="D1079" t="s">
        <v>33</v>
      </c>
      <c r="E1079" t="s">
        <v>34</v>
      </c>
      <c r="F1079" t="str">
        <f>"0001395"</f>
        <v>0001395</v>
      </c>
      <c r="G1079">
        <v>1</v>
      </c>
      <c r="H1079" t="str">
        <f>"00000000"</f>
        <v>00000000</v>
      </c>
      <c r="I1079" t="s">
        <v>35</v>
      </c>
      <c r="J1079"/>
      <c r="K1079">
        <v>29.11</v>
      </c>
      <c r="L1079">
        <v>0.0</v>
      </c>
      <c r="M1079"/>
      <c r="N1079"/>
      <c r="O1079">
        <v>5.24</v>
      </c>
      <c r="P1079">
        <v>0.2</v>
      </c>
      <c r="Q1079">
        <v>34.55</v>
      </c>
      <c r="R1079"/>
      <c r="S1079"/>
      <c r="T1079"/>
      <c r="U1079"/>
      <c r="V1079"/>
      <c r="W1079">
        <v>18</v>
      </c>
    </row>
    <row r="1080" spans="1:23">
      <c r="A1080"/>
      <c r="B1080" t="s">
        <v>58</v>
      </c>
      <c r="C1080" t="s">
        <v>58</v>
      </c>
      <c r="D1080" t="s">
        <v>33</v>
      </c>
      <c r="E1080" t="s">
        <v>34</v>
      </c>
      <c r="F1080" t="str">
        <f>"0001396"</f>
        <v>0001396</v>
      </c>
      <c r="G1080">
        <v>1</v>
      </c>
      <c r="H1080" t="str">
        <f>"00000000"</f>
        <v>00000000</v>
      </c>
      <c r="I1080" t="s">
        <v>35</v>
      </c>
      <c r="J1080"/>
      <c r="K1080">
        <v>20.69</v>
      </c>
      <c r="L1080">
        <v>0.0</v>
      </c>
      <c r="M1080"/>
      <c r="N1080"/>
      <c r="O1080">
        <v>3.73</v>
      </c>
      <c r="P1080">
        <v>0.2</v>
      </c>
      <c r="Q1080">
        <v>24.62</v>
      </c>
      <c r="R1080"/>
      <c r="S1080"/>
      <c r="T1080"/>
      <c r="U1080"/>
      <c r="V1080"/>
      <c r="W1080">
        <v>18</v>
      </c>
    </row>
    <row r="1081" spans="1:23">
      <c r="A1081"/>
      <c r="B1081" t="s">
        <v>58</v>
      </c>
      <c r="C1081" t="s">
        <v>58</v>
      </c>
      <c r="D1081" t="s">
        <v>33</v>
      </c>
      <c r="E1081" t="s">
        <v>34</v>
      </c>
      <c r="F1081" t="str">
        <f>"0001397"</f>
        <v>0001397</v>
      </c>
      <c r="G1081">
        <v>1</v>
      </c>
      <c r="H1081" t="str">
        <f>"00000000"</f>
        <v>00000000</v>
      </c>
      <c r="I1081" t="s">
        <v>35</v>
      </c>
      <c r="J1081"/>
      <c r="K1081">
        <v>1.69</v>
      </c>
      <c r="L1081">
        <v>0.0</v>
      </c>
      <c r="M1081"/>
      <c r="N1081"/>
      <c r="O1081">
        <v>0.31</v>
      </c>
      <c r="P1081">
        <v>0.0</v>
      </c>
      <c r="Q1081">
        <v>2.0</v>
      </c>
      <c r="R1081"/>
      <c r="S1081"/>
      <c r="T1081"/>
      <c r="U1081"/>
      <c r="V1081"/>
      <c r="W1081">
        <v>18</v>
      </c>
    </row>
    <row r="1082" spans="1:23">
      <c r="A1082"/>
      <c r="B1082" t="s">
        <v>58</v>
      </c>
      <c r="C1082" t="s">
        <v>58</v>
      </c>
      <c r="D1082" t="s">
        <v>33</v>
      </c>
      <c r="E1082" t="s">
        <v>34</v>
      </c>
      <c r="F1082" t="str">
        <f>"0001398"</f>
        <v>0001398</v>
      </c>
      <c r="G1082">
        <v>1</v>
      </c>
      <c r="H1082" t="str">
        <f>"00000000"</f>
        <v>00000000</v>
      </c>
      <c r="I1082" t="s">
        <v>35</v>
      </c>
      <c r="J1082"/>
      <c r="K1082">
        <v>6.19</v>
      </c>
      <c r="L1082">
        <v>0.0</v>
      </c>
      <c r="M1082"/>
      <c r="N1082"/>
      <c r="O1082">
        <v>1.11</v>
      </c>
      <c r="P1082">
        <v>0.2</v>
      </c>
      <c r="Q1082">
        <v>7.5</v>
      </c>
      <c r="R1082"/>
      <c r="S1082"/>
      <c r="T1082"/>
      <c r="U1082"/>
      <c r="V1082"/>
      <c r="W1082">
        <v>18</v>
      </c>
    </row>
    <row r="1083" spans="1:23">
      <c r="A1083"/>
      <c r="B1083" t="s">
        <v>58</v>
      </c>
      <c r="C1083" t="s">
        <v>58</v>
      </c>
      <c r="D1083" t="s">
        <v>33</v>
      </c>
      <c r="E1083" t="s">
        <v>34</v>
      </c>
      <c r="F1083" t="str">
        <f>"0001399"</f>
        <v>0001399</v>
      </c>
      <c r="G1083">
        <v>1</v>
      </c>
      <c r="H1083" t="str">
        <f>"00000000"</f>
        <v>00000000</v>
      </c>
      <c r="I1083" t="s">
        <v>35</v>
      </c>
      <c r="J1083"/>
      <c r="K1083">
        <v>34.59</v>
      </c>
      <c r="L1083">
        <v>0.0</v>
      </c>
      <c r="M1083"/>
      <c r="N1083"/>
      <c r="O1083">
        <v>6.23</v>
      </c>
      <c r="P1083">
        <v>0.0</v>
      </c>
      <c r="Q1083">
        <v>40.81</v>
      </c>
      <c r="R1083"/>
      <c r="S1083"/>
      <c r="T1083"/>
      <c r="U1083"/>
      <c r="V1083"/>
      <c r="W1083">
        <v>18</v>
      </c>
    </row>
    <row r="1084" spans="1:23">
      <c r="A1084"/>
      <c r="B1084" t="s">
        <v>58</v>
      </c>
      <c r="C1084" t="s">
        <v>58</v>
      </c>
      <c r="D1084" t="s">
        <v>33</v>
      </c>
      <c r="E1084" t="s">
        <v>34</v>
      </c>
      <c r="F1084" t="str">
        <f>"0001400"</f>
        <v>0001400</v>
      </c>
      <c r="G1084">
        <v>1</v>
      </c>
      <c r="H1084" t="str">
        <f>"00000000"</f>
        <v>00000000</v>
      </c>
      <c r="I1084" t="s">
        <v>35</v>
      </c>
      <c r="J1084"/>
      <c r="K1084">
        <v>93.81</v>
      </c>
      <c r="L1084">
        <v>0.0</v>
      </c>
      <c r="M1084"/>
      <c r="N1084"/>
      <c r="O1084">
        <v>16.89</v>
      </c>
      <c r="P1084">
        <v>0.2</v>
      </c>
      <c r="Q1084">
        <v>110.9</v>
      </c>
      <c r="R1084"/>
      <c r="S1084"/>
      <c r="T1084"/>
      <c r="U1084"/>
      <c r="V1084"/>
      <c r="W1084">
        <v>18</v>
      </c>
    </row>
    <row r="1085" spans="1:23">
      <c r="A1085"/>
      <c r="B1085" t="s">
        <v>58</v>
      </c>
      <c r="C1085" t="s">
        <v>58</v>
      </c>
      <c r="D1085" t="s">
        <v>33</v>
      </c>
      <c r="E1085" t="s">
        <v>34</v>
      </c>
      <c r="F1085" t="str">
        <f>"0001401"</f>
        <v>0001401</v>
      </c>
      <c r="G1085">
        <v>1</v>
      </c>
      <c r="H1085" t="str">
        <f>"00000000"</f>
        <v>00000000</v>
      </c>
      <c r="I1085" t="s">
        <v>35</v>
      </c>
      <c r="J1085"/>
      <c r="K1085">
        <v>1.25</v>
      </c>
      <c r="L1085">
        <v>0.0</v>
      </c>
      <c r="M1085"/>
      <c r="N1085"/>
      <c r="O1085">
        <v>0.23</v>
      </c>
      <c r="P1085">
        <v>0.0</v>
      </c>
      <c r="Q1085">
        <v>1.48</v>
      </c>
      <c r="R1085"/>
      <c r="S1085"/>
      <c r="T1085"/>
      <c r="U1085"/>
      <c r="V1085"/>
      <c r="W1085">
        <v>18</v>
      </c>
    </row>
    <row r="1086" spans="1:23">
      <c r="A1086"/>
      <c r="B1086" t="s">
        <v>58</v>
      </c>
      <c r="C1086" t="s">
        <v>58</v>
      </c>
      <c r="D1086" t="s">
        <v>33</v>
      </c>
      <c r="E1086" t="s">
        <v>34</v>
      </c>
      <c r="F1086" t="str">
        <f>"0001402"</f>
        <v>0001402</v>
      </c>
      <c r="G1086">
        <v>1</v>
      </c>
      <c r="H1086" t="str">
        <f>"00000000"</f>
        <v>00000000</v>
      </c>
      <c r="I1086" t="s">
        <v>35</v>
      </c>
      <c r="J1086"/>
      <c r="K1086">
        <v>8.66</v>
      </c>
      <c r="L1086">
        <v>0.0</v>
      </c>
      <c r="M1086"/>
      <c r="N1086"/>
      <c r="O1086">
        <v>1.56</v>
      </c>
      <c r="P1086">
        <v>0.0</v>
      </c>
      <c r="Q1086">
        <v>10.22</v>
      </c>
      <c r="R1086"/>
      <c r="S1086"/>
      <c r="T1086"/>
      <c r="U1086"/>
      <c r="V1086"/>
      <c r="W1086">
        <v>18</v>
      </c>
    </row>
    <row r="1087" spans="1:23">
      <c r="A1087"/>
      <c r="B1087" t="s">
        <v>58</v>
      </c>
      <c r="C1087" t="s">
        <v>58</v>
      </c>
      <c r="D1087" t="s">
        <v>33</v>
      </c>
      <c r="E1087" t="s">
        <v>34</v>
      </c>
      <c r="F1087" t="str">
        <f>"0001403"</f>
        <v>0001403</v>
      </c>
      <c r="G1087">
        <v>1</v>
      </c>
      <c r="H1087" t="str">
        <f>"00000000"</f>
        <v>00000000</v>
      </c>
      <c r="I1087" t="s">
        <v>35</v>
      </c>
      <c r="J1087"/>
      <c r="K1087">
        <v>6.95</v>
      </c>
      <c r="L1087">
        <v>0.0</v>
      </c>
      <c r="M1087"/>
      <c r="N1087"/>
      <c r="O1087">
        <v>1.25</v>
      </c>
      <c r="P1087">
        <v>0.0</v>
      </c>
      <c r="Q1087">
        <v>8.2</v>
      </c>
      <c r="R1087"/>
      <c r="S1087"/>
      <c r="T1087"/>
      <c r="U1087"/>
      <c r="V1087"/>
      <c r="W1087">
        <v>18</v>
      </c>
    </row>
    <row r="1088" spans="1:23">
      <c r="A1088"/>
      <c r="B1088" t="s">
        <v>58</v>
      </c>
      <c r="C1088" t="s">
        <v>58</v>
      </c>
      <c r="D1088" t="s">
        <v>33</v>
      </c>
      <c r="E1088" t="s">
        <v>34</v>
      </c>
      <c r="F1088" t="str">
        <f>"0001404"</f>
        <v>0001404</v>
      </c>
      <c r="G1088">
        <v>1</v>
      </c>
      <c r="H1088" t="str">
        <f>"00000000"</f>
        <v>00000000</v>
      </c>
      <c r="I1088" t="s">
        <v>35</v>
      </c>
      <c r="J1088"/>
      <c r="K1088">
        <v>1.97</v>
      </c>
      <c r="L1088">
        <v>0.0</v>
      </c>
      <c r="M1088"/>
      <c r="N1088"/>
      <c r="O1088">
        <v>0.36</v>
      </c>
      <c r="P1088">
        <v>0.2</v>
      </c>
      <c r="Q1088">
        <v>2.53</v>
      </c>
      <c r="R1088"/>
      <c r="S1088"/>
      <c r="T1088"/>
      <c r="U1088"/>
      <c r="V1088"/>
      <c r="W1088">
        <v>18</v>
      </c>
    </row>
    <row r="1089" spans="1:23">
      <c r="A1089"/>
      <c r="B1089" t="s">
        <v>58</v>
      </c>
      <c r="C1089" t="s">
        <v>58</v>
      </c>
      <c r="D1089" t="s">
        <v>33</v>
      </c>
      <c r="E1089" t="s">
        <v>34</v>
      </c>
      <c r="F1089" t="str">
        <f>"0001405"</f>
        <v>0001405</v>
      </c>
      <c r="G1089">
        <v>1</v>
      </c>
      <c r="H1089" t="str">
        <f>"00000000"</f>
        <v>00000000</v>
      </c>
      <c r="I1089" t="s">
        <v>35</v>
      </c>
      <c r="J1089"/>
      <c r="K1089">
        <v>71.62</v>
      </c>
      <c r="L1089">
        <v>0.0</v>
      </c>
      <c r="M1089"/>
      <c r="N1089"/>
      <c r="O1089">
        <v>12.89</v>
      </c>
      <c r="P1089">
        <v>0.0</v>
      </c>
      <c r="Q1089">
        <v>84.51</v>
      </c>
      <c r="R1089"/>
      <c r="S1089"/>
      <c r="T1089"/>
      <c r="U1089"/>
      <c r="V1089"/>
      <c r="W1089">
        <v>18</v>
      </c>
    </row>
    <row r="1090" spans="1:23">
      <c r="A1090"/>
      <c r="B1090" t="s">
        <v>58</v>
      </c>
      <c r="C1090" t="s">
        <v>58</v>
      </c>
      <c r="D1090" t="s">
        <v>33</v>
      </c>
      <c r="E1090" t="s">
        <v>34</v>
      </c>
      <c r="F1090" t="str">
        <f>"0001406"</f>
        <v>0001406</v>
      </c>
      <c r="G1090">
        <v>1</v>
      </c>
      <c r="H1090" t="str">
        <f>"00000000"</f>
        <v>00000000</v>
      </c>
      <c r="I1090" t="s">
        <v>35</v>
      </c>
      <c r="J1090"/>
      <c r="K1090">
        <v>2.8</v>
      </c>
      <c r="L1090">
        <v>0.0</v>
      </c>
      <c r="M1090"/>
      <c r="N1090"/>
      <c r="O1090">
        <v>0.5</v>
      </c>
      <c r="P1090">
        <v>0.0</v>
      </c>
      <c r="Q1090">
        <v>3.3</v>
      </c>
      <c r="R1090"/>
      <c r="S1090"/>
      <c r="T1090"/>
      <c r="U1090"/>
      <c r="V1090"/>
      <c r="W1090">
        <v>18</v>
      </c>
    </row>
    <row r="1091" spans="1:23">
      <c r="A1091"/>
      <c r="B1091" t="s">
        <v>58</v>
      </c>
      <c r="C1091" t="s">
        <v>58</v>
      </c>
      <c r="D1091" t="s">
        <v>33</v>
      </c>
      <c r="E1091" t="s">
        <v>34</v>
      </c>
      <c r="F1091" t="str">
        <f>"0001407"</f>
        <v>0001407</v>
      </c>
      <c r="G1091">
        <v>1</v>
      </c>
      <c r="H1091" t="str">
        <f>"00000000"</f>
        <v>00000000</v>
      </c>
      <c r="I1091" t="s">
        <v>35</v>
      </c>
      <c r="J1091"/>
      <c r="K1091">
        <v>1.61</v>
      </c>
      <c r="L1091">
        <v>0.0</v>
      </c>
      <c r="M1091"/>
      <c r="N1091"/>
      <c r="O1091">
        <v>0.29</v>
      </c>
      <c r="P1091">
        <v>0.0</v>
      </c>
      <c r="Q1091">
        <v>1.9</v>
      </c>
      <c r="R1091"/>
      <c r="S1091"/>
      <c r="T1091"/>
      <c r="U1091"/>
      <c r="V1091"/>
      <c r="W1091">
        <v>18</v>
      </c>
    </row>
    <row r="1092" spans="1:23">
      <c r="A1092"/>
      <c r="B1092" t="s">
        <v>58</v>
      </c>
      <c r="C1092" t="s">
        <v>58</v>
      </c>
      <c r="D1092" t="s">
        <v>33</v>
      </c>
      <c r="E1092" t="s">
        <v>34</v>
      </c>
      <c r="F1092" t="str">
        <f>"0001408"</f>
        <v>0001408</v>
      </c>
      <c r="G1092">
        <v>1</v>
      </c>
      <c r="H1092" t="str">
        <f>"00000000"</f>
        <v>00000000</v>
      </c>
      <c r="I1092" t="s">
        <v>35</v>
      </c>
      <c r="J1092"/>
      <c r="K1092">
        <v>18.03</v>
      </c>
      <c r="L1092">
        <v>0.0</v>
      </c>
      <c r="M1092"/>
      <c r="N1092"/>
      <c r="O1092">
        <v>3.25</v>
      </c>
      <c r="P1092">
        <v>0.0</v>
      </c>
      <c r="Q1092">
        <v>21.28</v>
      </c>
      <c r="R1092"/>
      <c r="S1092"/>
      <c r="T1092"/>
      <c r="U1092"/>
      <c r="V1092"/>
      <c r="W1092">
        <v>18</v>
      </c>
    </row>
    <row r="1093" spans="1:23">
      <c r="A1093"/>
      <c r="B1093" t="s">
        <v>58</v>
      </c>
      <c r="C1093" t="s">
        <v>58</v>
      </c>
      <c r="D1093" t="s">
        <v>33</v>
      </c>
      <c r="E1093" t="s">
        <v>34</v>
      </c>
      <c r="F1093" t="str">
        <f>"0001409"</f>
        <v>0001409</v>
      </c>
      <c r="G1093">
        <v>1</v>
      </c>
      <c r="H1093" t="str">
        <f>"00000000"</f>
        <v>00000000</v>
      </c>
      <c r="I1093" t="s">
        <v>35</v>
      </c>
      <c r="J1093"/>
      <c r="K1093">
        <v>7.37</v>
      </c>
      <c r="L1093">
        <v>0.0</v>
      </c>
      <c r="M1093"/>
      <c r="N1093"/>
      <c r="O1093">
        <v>1.33</v>
      </c>
      <c r="P1093">
        <v>0.0</v>
      </c>
      <c r="Q1093">
        <v>8.7</v>
      </c>
      <c r="R1093"/>
      <c r="S1093"/>
      <c r="T1093"/>
      <c r="U1093"/>
      <c r="V1093"/>
      <c r="W1093">
        <v>18</v>
      </c>
    </row>
    <row r="1094" spans="1:23">
      <c r="A1094"/>
      <c r="B1094" t="s">
        <v>58</v>
      </c>
      <c r="C1094" t="s">
        <v>58</v>
      </c>
      <c r="D1094" t="s">
        <v>33</v>
      </c>
      <c r="E1094" t="s">
        <v>34</v>
      </c>
      <c r="F1094" t="str">
        <f>"0001410"</f>
        <v>0001410</v>
      </c>
      <c r="G1094">
        <v>1</v>
      </c>
      <c r="H1094" t="str">
        <f>"00000000"</f>
        <v>00000000</v>
      </c>
      <c r="I1094" t="s">
        <v>35</v>
      </c>
      <c r="J1094"/>
      <c r="K1094">
        <v>1.27</v>
      </c>
      <c r="L1094">
        <v>0.0</v>
      </c>
      <c r="M1094"/>
      <c r="N1094"/>
      <c r="O1094">
        <v>0.23</v>
      </c>
      <c r="P1094">
        <v>0.0</v>
      </c>
      <c r="Q1094">
        <v>1.5</v>
      </c>
      <c r="R1094"/>
      <c r="S1094"/>
      <c r="T1094"/>
      <c r="U1094"/>
      <c r="V1094"/>
      <c r="W1094">
        <v>18</v>
      </c>
    </row>
    <row r="1095" spans="1:23">
      <c r="A1095"/>
      <c r="B1095" t="s">
        <v>58</v>
      </c>
      <c r="C1095" t="s">
        <v>58</v>
      </c>
      <c r="D1095" t="s">
        <v>33</v>
      </c>
      <c r="E1095" t="s">
        <v>34</v>
      </c>
      <c r="F1095" t="str">
        <f>"0001411"</f>
        <v>0001411</v>
      </c>
      <c r="G1095">
        <v>1</v>
      </c>
      <c r="H1095" t="str">
        <f>"00000000"</f>
        <v>00000000</v>
      </c>
      <c r="I1095" t="s">
        <v>35</v>
      </c>
      <c r="J1095"/>
      <c r="K1095">
        <v>1.61</v>
      </c>
      <c r="L1095">
        <v>0.0</v>
      </c>
      <c r="M1095"/>
      <c r="N1095"/>
      <c r="O1095">
        <v>0.29</v>
      </c>
      <c r="P1095">
        <v>0.0</v>
      </c>
      <c r="Q1095">
        <v>1.9</v>
      </c>
      <c r="R1095"/>
      <c r="S1095"/>
      <c r="T1095"/>
      <c r="U1095"/>
      <c r="V1095"/>
      <c r="W1095">
        <v>18</v>
      </c>
    </row>
    <row r="1096" spans="1:23">
      <c r="A1096"/>
      <c r="B1096" t="s">
        <v>58</v>
      </c>
      <c r="C1096" t="s">
        <v>58</v>
      </c>
      <c r="D1096" t="s">
        <v>33</v>
      </c>
      <c r="E1096" t="s">
        <v>34</v>
      </c>
      <c r="F1096" t="str">
        <f>"0001412"</f>
        <v>0001412</v>
      </c>
      <c r="G1096">
        <v>1</v>
      </c>
      <c r="H1096" t="str">
        <f>"00000000"</f>
        <v>00000000</v>
      </c>
      <c r="I1096" t="s">
        <v>35</v>
      </c>
      <c r="J1096"/>
      <c r="K1096">
        <v>7.16</v>
      </c>
      <c r="L1096">
        <v>0.0</v>
      </c>
      <c r="M1096"/>
      <c r="N1096"/>
      <c r="O1096">
        <v>1.29</v>
      </c>
      <c r="P1096">
        <v>0.0</v>
      </c>
      <c r="Q1096">
        <v>8.45</v>
      </c>
      <c r="R1096"/>
      <c r="S1096"/>
      <c r="T1096"/>
      <c r="U1096"/>
      <c r="V1096"/>
      <c r="W1096">
        <v>18</v>
      </c>
    </row>
    <row r="1097" spans="1:23">
      <c r="A1097"/>
      <c r="B1097" t="s">
        <v>58</v>
      </c>
      <c r="C1097" t="s">
        <v>58</v>
      </c>
      <c r="D1097" t="s">
        <v>33</v>
      </c>
      <c r="E1097" t="s">
        <v>34</v>
      </c>
      <c r="F1097" t="str">
        <f>"0001413"</f>
        <v>0001413</v>
      </c>
      <c r="G1097">
        <v>1</v>
      </c>
      <c r="H1097" t="str">
        <f>"00000000"</f>
        <v>00000000</v>
      </c>
      <c r="I1097" t="s">
        <v>35</v>
      </c>
      <c r="J1097"/>
      <c r="K1097">
        <v>1.78</v>
      </c>
      <c r="L1097">
        <v>0.0</v>
      </c>
      <c r="M1097"/>
      <c r="N1097"/>
      <c r="O1097">
        <v>0.32</v>
      </c>
      <c r="P1097">
        <v>0.2</v>
      </c>
      <c r="Q1097">
        <v>2.3</v>
      </c>
      <c r="R1097"/>
      <c r="S1097"/>
      <c r="T1097"/>
      <c r="U1097"/>
      <c r="V1097"/>
      <c r="W1097">
        <v>18</v>
      </c>
    </row>
    <row r="1098" spans="1:23">
      <c r="A1098"/>
      <c r="B1098" t="s">
        <v>58</v>
      </c>
      <c r="C1098" t="s">
        <v>58</v>
      </c>
      <c r="D1098" t="s">
        <v>33</v>
      </c>
      <c r="E1098" t="s">
        <v>34</v>
      </c>
      <c r="F1098" t="str">
        <f>"0001414"</f>
        <v>0001414</v>
      </c>
      <c r="G1098">
        <v>1</v>
      </c>
      <c r="H1098" t="str">
        <f>"00000000"</f>
        <v>00000000</v>
      </c>
      <c r="I1098" t="s">
        <v>35</v>
      </c>
      <c r="J1098"/>
      <c r="K1098">
        <v>5.48</v>
      </c>
      <c r="L1098">
        <v>0.0</v>
      </c>
      <c r="M1098"/>
      <c r="N1098"/>
      <c r="O1098">
        <v>0.99</v>
      </c>
      <c r="P1098">
        <v>0.0</v>
      </c>
      <c r="Q1098">
        <v>6.47</v>
      </c>
      <c r="R1098"/>
      <c r="S1098"/>
      <c r="T1098"/>
      <c r="U1098"/>
      <c r="V1098"/>
      <c r="W1098">
        <v>18</v>
      </c>
    </row>
    <row r="1099" spans="1:23">
      <c r="A1099"/>
      <c r="B1099" t="s">
        <v>58</v>
      </c>
      <c r="C1099" t="s">
        <v>58</v>
      </c>
      <c r="D1099" t="s">
        <v>33</v>
      </c>
      <c r="E1099" t="s">
        <v>34</v>
      </c>
      <c r="F1099" t="str">
        <f>"0001415"</f>
        <v>0001415</v>
      </c>
      <c r="G1099">
        <v>1</v>
      </c>
      <c r="H1099" t="str">
        <f>"00000000"</f>
        <v>00000000</v>
      </c>
      <c r="I1099" t="s">
        <v>35</v>
      </c>
      <c r="J1099"/>
      <c r="K1099">
        <v>7.7</v>
      </c>
      <c r="L1099">
        <v>0.0</v>
      </c>
      <c r="M1099"/>
      <c r="N1099"/>
      <c r="O1099">
        <v>1.39</v>
      </c>
      <c r="P1099">
        <v>0.2</v>
      </c>
      <c r="Q1099">
        <v>9.29</v>
      </c>
      <c r="R1099"/>
      <c r="S1099"/>
      <c r="T1099"/>
      <c r="U1099"/>
      <c r="V1099"/>
      <c r="W1099">
        <v>18</v>
      </c>
    </row>
    <row r="1100" spans="1:23">
      <c r="A1100"/>
      <c r="B1100" t="s">
        <v>58</v>
      </c>
      <c r="C1100" t="s">
        <v>58</v>
      </c>
      <c r="D1100" t="s">
        <v>33</v>
      </c>
      <c r="E1100" t="s">
        <v>34</v>
      </c>
      <c r="F1100" t="str">
        <f>"0001416"</f>
        <v>0001416</v>
      </c>
      <c r="G1100">
        <v>1</v>
      </c>
      <c r="H1100" t="str">
        <f>"00000000"</f>
        <v>00000000</v>
      </c>
      <c r="I1100" t="s">
        <v>35</v>
      </c>
      <c r="J1100"/>
      <c r="K1100">
        <v>14.75</v>
      </c>
      <c r="L1100">
        <v>0.0</v>
      </c>
      <c r="M1100"/>
      <c r="N1100"/>
      <c r="O1100">
        <v>2.65</v>
      </c>
      <c r="P1100">
        <v>0.2</v>
      </c>
      <c r="Q1100">
        <v>17.6</v>
      </c>
      <c r="R1100"/>
      <c r="S1100"/>
      <c r="T1100"/>
      <c r="U1100"/>
      <c r="V1100"/>
      <c r="W1100">
        <v>18</v>
      </c>
    </row>
    <row r="1101" spans="1:23">
      <c r="A1101"/>
      <c r="B1101" t="s">
        <v>58</v>
      </c>
      <c r="C1101" t="s">
        <v>58</v>
      </c>
      <c r="D1101" t="s">
        <v>33</v>
      </c>
      <c r="E1101" t="s">
        <v>34</v>
      </c>
      <c r="F1101" t="str">
        <f>"0001417"</f>
        <v>0001417</v>
      </c>
      <c r="G1101">
        <v>1</v>
      </c>
      <c r="H1101" t="str">
        <f>"00000000"</f>
        <v>00000000</v>
      </c>
      <c r="I1101" t="s">
        <v>35</v>
      </c>
      <c r="J1101"/>
      <c r="K1101">
        <v>16.92</v>
      </c>
      <c r="L1101">
        <v>0.0</v>
      </c>
      <c r="M1101"/>
      <c r="N1101"/>
      <c r="O1101">
        <v>3.04</v>
      </c>
      <c r="P1101">
        <v>0.2</v>
      </c>
      <c r="Q1101">
        <v>20.16</v>
      </c>
      <c r="R1101"/>
      <c r="S1101"/>
      <c r="T1101"/>
      <c r="U1101"/>
      <c r="V1101"/>
      <c r="W1101">
        <v>18</v>
      </c>
    </row>
    <row r="1102" spans="1:23">
      <c r="A1102"/>
      <c r="B1102" t="s">
        <v>58</v>
      </c>
      <c r="C1102" t="s">
        <v>58</v>
      </c>
      <c r="D1102" t="s">
        <v>33</v>
      </c>
      <c r="E1102" t="s">
        <v>34</v>
      </c>
      <c r="F1102" t="str">
        <f>"0001418"</f>
        <v>0001418</v>
      </c>
      <c r="G1102">
        <v>1</v>
      </c>
      <c r="H1102" t="str">
        <f>"00000000"</f>
        <v>00000000</v>
      </c>
      <c r="I1102" t="s">
        <v>35</v>
      </c>
      <c r="J1102"/>
      <c r="K1102">
        <v>6.44</v>
      </c>
      <c r="L1102">
        <v>0.0</v>
      </c>
      <c r="M1102"/>
      <c r="N1102"/>
      <c r="O1102">
        <v>1.16</v>
      </c>
      <c r="P1102">
        <v>0.0</v>
      </c>
      <c r="Q1102">
        <v>7.59</v>
      </c>
      <c r="R1102"/>
      <c r="S1102"/>
      <c r="T1102"/>
      <c r="U1102"/>
      <c r="V1102"/>
      <c r="W1102">
        <v>18</v>
      </c>
    </row>
    <row r="1103" spans="1:23">
      <c r="A1103"/>
      <c r="B1103" t="s">
        <v>58</v>
      </c>
      <c r="C1103" t="s">
        <v>58</v>
      </c>
      <c r="D1103" t="s">
        <v>33</v>
      </c>
      <c r="E1103" t="s">
        <v>34</v>
      </c>
      <c r="F1103" t="str">
        <f>"0001419"</f>
        <v>0001419</v>
      </c>
      <c r="G1103">
        <v>1</v>
      </c>
      <c r="H1103" t="str">
        <f>"00000000"</f>
        <v>00000000</v>
      </c>
      <c r="I1103" t="s">
        <v>35</v>
      </c>
      <c r="J1103"/>
      <c r="K1103">
        <v>1.2</v>
      </c>
      <c r="L1103">
        <v>0.0</v>
      </c>
      <c r="M1103"/>
      <c r="N1103"/>
      <c r="O1103">
        <v>0.22</v>
      </c>
      <c r="P1103">
        <v>0.0</v>
      </c>
      <c r="Q1103">
        <v>1.42</v>
      </c>
      <c r="R1103"/>
      <c r="S1103"/>
      <c r="T1103"/>
      <c r="U1103"/>
      <c r="V1103"/>
      <c r="W1103">
        <v>18</v>
      </c>
    </row>
    <row r="1104" spans="1:23">
      <c r="A1104"/>
      <c r="B1104" t="s">
        <v>58</v>
      </c>
      <c r="C1104" t="s">
        <v>58</v>
      </c>
      <c r="D1104" t="s">
        <v>33</v>
      </c>
      <c r="E1104" t="s">
        <v>34</v>
      </c>
      <c r="F1104" t="str">
        <f>"0001420"</f>
        <v>0001420</v>
      </c>
      <c r="G1104">
        <v>1</v>
      </c>
      <c r="H1104" t="str">
        <f>"00000000"</f>
        <v>00000000</v>
      </c>
      <c r="I1104" t="s">
        <v>35</v>
      </c>
      <c r="J1104"/>
      <c r="K1104">
        <v>8.14</v>
      </c>
      <c r="L1104">
        <v>0.0</v>
      </c>
      <c r="M1104"/>
      <c r="N1104"/>
      <c r="O1104">
        <v>1.46</v>
      </c>
      <c r="P1104">
        <v>0.2</v>
      </c>
      <c r="Q1104">
        <v>9.8</v>
      </c>
      <c r="R1104"/>
      <c r="S1104"/>
      <c r="T1104"/>
      <c r="U1104"/>
      <c r="V1104"/>
      <c r="W1104">
        <v>18</v>
      </c>
    </row>
    <row r="1105" spans="1:23">
      <c r="A1105"/>
      <c r="B1105" t="s">
        <v>58</v>
      </c>
      <c r="C1105" t="s">
        <v>58</v>
      </c>
      <c r="D1105" t="s">
        <v>33</v>
      </c>
      <c r="E1105" t="s">
        <v>34</v>
      </c>
      <c r="F1105" t="str">
        <f>"0001421"</f>
        <v>0001421</v>
      </c>
      <c r="G1105">
        <v>1</v>
      </c>
      <c r="H1105" t="str">
        <f>"00000000"</f>
        <v>00000000</v>
      </c>
      <c r="I1105" t="s">
        <v>35</v>
      </c>
      <c r="J1105"/>
      <c r="K1105">
        <v>0.9</v>
      </c>
      <c r="L1105">
        <v>0.0</v>
      </c>
      <c r="M1105"/>
      <c r="N1105"/>
      <c r="O1105">
        <v>0.16</v>
      </c>
      <c r="P1105">
        <v>0.0</v>
      </c>
      <c r="Q1105">
        <v>1.06</v>
      </c>
      <c r="R1105"/>
      <c r="S1105"/>
      <c r="T1105"/>
      <c r="U1105"/>
      <c r="V1105"/>
      <c r="W1105">
        <v>18</v>
      </c>
    </row>
    <row r="1106" spans="1:23">
      <c r="A1106"/>
      <c r="B1106" t="s">
        <v>58</v>
      </c>
      <c r="C1106" t="s">
        <v>58</v>
      </c>
      <c r="D1106" t="s">
        <v>33</v>
      </c>
      <c r="E1106" t="s">
        <v>34</v>
      </c>
      <c r="F1106" t="str">
        <f>"0001422"</f>
        <v>0001422</v>
      </c>
      <c r="G1106">
        <v>1</v>
      </c>
      <c r="H1106" t="str">
        <f>"00000000"</f>
        <v>00000000</v>
      </c>
      <c r="I1106" t="s">
        <v>35</v>
      </c>
      <c r="J1106"/>
      <c r="K1106">
        <v>7.42</v>
      </c>
      <c r="L1106">
        <v>0.0</v>
      </c>
      <c r="M1106"/>
      <c r="N1106"/>
      <c r="O1106">
        <v>1.34</v>
      </c>
      <c r="P1106">
        <v>0.0</v>
      </c>
      <c r="Q1106">
        <v>8.76</v>
      </c>
      <c r="R1106"/>
      <c r="S1106"/>
      <c r="T1106"/>
      <c r="U1106"/>
      <c r="V1106"/>
      <c r="W1106">
        <v>18</v>
      </c>
    </row>
    <row r="1107" spans="1:23">
      <c r="A1107"/>
      <c r="B1107" t="s">
        <v>58</v>
      </c>
      <c r="C1107" t="s">
        <v>58</v>
      </c>
      <c r="D1107" t="s">
        <v>33</v>
      </c>
      <c r="E1107" t="s">
        <v>34</v>
      </c>
      <c r="F1107" t="str">
        <f>"0001423"</f>
        <v>0001423</v>
      </c>
      <c r="G1107">
        <v>1</v>
      </c>
      <c r="H1107" t="str">
        <f>"00000000"</f>
        <v>00000000</v>
      </c>
      <c r="I1107" t="s">
        <v>35</v>
      </c>
      <c r="J1107"/>
      <c r="K1107">
        <v>19.07</v>
      </c>
      <c r="L1107">
        <v>0.0</v>
      </c>
      <c r="M1107"/>
      <c r="N1107"/>
      <c r="O1107">
        <v>3.43</v>
      </c>
      <c r="P1107">
        <v>0.0</v>
      </c>
      <c r="Q1107">
        <v>22.5</v>
      </c>
      <c r="R1107"/>
      <c r="S1107"/>
      <c r="T1107"/>
      <c r="U1107"/>
      <c r="V1107"/>
      <c r="W1107">
        <v>18</v>
      </c>
    </row>
    <row r="1108" spans="1:23">
      <c r="A1108"/>
      <c r="B1108" t="s">
        <v>58</v>
      </c>
      <c r="C1108" t="s">
        <v>58</v>
      </c>
      <c r="D1108" t="s">
        <v>33</v>
      </c>
      <c r="E1108" t="s">
        <v>34</v>
      </c>
      <c r="F1108" t="str">
        <f>"0001424"</f>
        <v>0001424</v>
      </c>
      <c r="G1108">
        <v>1</v>
      </c>
      <c r="H1108" t="str">
        <f>"00000000"</f>
        <v>00000000</v>
      </c>
      <c r="I1108" t="s">
        <v>35</v>
      </c>
      <c r="J1108"/>
      <c r="K1108">
        <v>26.56</v>
      </c>
      <c r="L1108">
        <v>0.0</v>
      </c>
      <c r="M1108"/>
      <c r="N1108"/>
      <c r="O1108">
        <v>4.78</v>
      </c>
      <c r="P1108">
        <v>0.2</v>
      </c>
      <c r="Q1108">
        <v>31.54</v>
      </c>
      <c r="R1108"/>
      <c r="S1108"/>
      <c r="T1108"/>
      <c r="U1108"/>
      <c r="V1108"/>
      <c r="W1108">
        <v>18</v>
      </c>
    </row>
    <row r="1109" spans="1:23">
      <c r="A1109"/>
      <c r="B1109" t="s">
        <v>58</v>
      </c>
      <c r="C1109" t="s">
        <v>58</v>
      </c>
      <c r="D1109" t="s">
        <v>33</v>
      </c>
      <c r="E1109" t="s">
        <v>34</v>
      </c>
      <c r="F1109" t="str">
        <f>"0001425"</f>
        <v>0001425</v>
      </c>
      <c r="G1109">
        <v>1</v>
      </c>
      <c r="H1109" t="str">
        <f>"00000000"</f>
        <v>00000000</v>
      </c>
      <c r="I1109" t="s">
        <v>35</v>
      </c>
      <c r="J1109"/>
      <c r="K1109">
        <v>4.66</v>
      </c>
      <c r="L1109">
        <v>0.0</v>
      </c>
      <c r="M1109"/>
      <c r="N1109"/>
      <c r="O1109">
        <v>0.84</v>
      </c>
      <c r="P1109">
        <v>0.0</v>
      </c>
      <c r="Q1109">
        <v>5.5</v>
      </c>
      <c r="R1109"/>
      <c r="S1109"/>
      <c r="T1109"/>
      <c r="U1109"/>
      <c r="V1109"/>
      <c r="W1109">
        <v>18</v>
      </c>
    </row>
    <row r="1110" spans="1:23">
      <c r="A1110"/>
      <c r="B1110" t="s">
        <v>58</v>
      </c>
      <c r="C1110" t="s">
        <v>58</v>
      </c>
      <c r="D1110" t="s">
        <v>33</v>
      </c>
      <c r="E1110" t="s">
        <v>34</v>
      </c>
      <c r="F1110" t="str">
        <f>"0001426"</f>
        <v>0001426</v>
      </c>
      <c r="G1110">
        <v>1</v>
      </c>
      <c r="H1110" t="str">
        <f>"00000000"</f>
        <v>00000000</v>
      </c>
      <c r="I1110" t="s">
        <v>35</v>
      </c>
      <c r="J1110"/>
      <c r="K1110">
        <v>4.66</v>
      </c>
      <c r="L1110">
        <v>0.0</v>
      </c>
      <c r="M1110"/>
      <c r="N1110"/>
      <c r="O1110">
        <v>0.84</v>
      </c>
      <c r="P1110">
        <v>0.0</v>
      </c>
      <c r="Q1110">
        <v>5.5</v>
      </c>
      <c r="R1110"/>
      <c r="S1110"/>
      <c r="T1110"/>
      <c r="U1110"/>
      <c r="V1110"/>
      <c r="W1110">
        <v>18</v>
      </c>
    </row>
    <row r="1111" spans="1:23">
      <c r="A1111"/>
      <c r="B1111" t="s">
        <v>58</v>
      </c>
      <c r="C1111" t="s">
        <v>58</v>
      </c>
      <c r="D1111" t="s">
        <v>33</v>
      </c>
      <c r="E1111" t="s">
        <v>34</v>
      </c>
      <c r="F1111" t="str">
        <f>"0001427"</f>
        <v>0001427</v>
      </c>
      <c r="G1111">
        <v>1</v>
      </c>
      <c r="H1111" t="str">
        <f>"00000000"</f>
        <v>00000000</v>
      </c>
      <c r="I1111" t="s">
        <v>35</v>
      </c>
      <c r="J1111"/>
      <c r="K1111">
        <v>26.02</v>
      </c>
      <c r="L1111">
        <v>0.0</v>
      </c>
      <c r="M1111"/>
      <c r="N1111"/>
      <c r="O1111">
        <v>4.68</v>
      </c>
      <c r="P1111">
        <v>0.2</v>
      </c>
      <c r="Q1111">
        <v>30.9</v>
      </c>
      <c r="R1111"/>
      <c r="S1111"/>
      <c r="T1111"/>
      <c r="U1111"/>
      <c r="V1111"/>
      <c r="W1111">
        <v>18</v>
      </c>
    </row>
    <row r="1112" spans="1:23">
      <c r="A1112"/>
      <c r="B1112" t="s">
        <v>58</v>
      </c>
      <c r="C1112" t="s">
        <v>58</v>
      </c>
      <c r="D1112" t="s">
        <v>33</v>
      </c>
      <c r="E1112" t="s">
        <v>34</v>
      </c>
      <c r="F1112" t="str">
        <f>"0001428"</f>
        <v>0001428</v>
      </c>
      <c r="G1112">
        <v>1</v>
      </c>
      <c r="H1112" t="str">
        <f>"00000000"</f>
        <v>00000000</v>
      </c>
      <c r="I1112" t="s">
        <v>35</v>
      </c>
      <c r="J1112"/>
      <c r="K1112">
        <v>17.8</v>
      </c>
      <c r="L1112">
        <v>0.0</v>
      </c>
      <c r="M1112"/>
      <c r="N1112"/>
      <c r="O1112">
        <v>3.2</v>
      </c>
      <c r="P1112">
        <v>0.0</v>
      </c>
      <c r="Q1112">
        <v>21.0</v>
      </c>
      <c r="R1112"/>
      <c r="S1112"/>
      <c r="T1112"/>
      <c r="U1112"/>
      <c r="V1112"/>
      <c r="W1112">
        <v>18</v>
      </c>
    </row>
    <row r="1113" spans="1:23">
      <c r="A1113"/>
      <c r="B1113" t="s">
        <v>58</v>
      </c>
      <c r="C1113" t="s">
        <v>58</v>
      </c>
      <c r="D1113" t="s">
        <v>33</v>
      </c>
      <c r="E1113" t="s">
        <v>34</v>
      </c>
      <c r="F1113" t="str">
        <f>"0001429"</f>
        <v>0001429</v>
      </c>
      <c r="G1113">
        <v>1</v>
      </c>
      <c r="H1113" t="str">
        <f>"00000000"</f>
        <v>00000000</v>
      </c>
      <c r="I1113" t="s">
        <v>35</v>
      </c>
      <c r="J1113"/>
      <c r="K1113">
        <v>3.26</v>
      </c>
      <c r="L1113">
        <v>0.0</v>
      </c>
      <c r="M1113"/>
      <c r="N1113"/>
      <c r="O1113">
        <v>0.59</v>
      </c>
      <c r="P1113">
        <v>0.0</v>
      </c>
      <c r="Q1113">
        <v>3.85</v>
      </c>
      <c r="R1113"/>
      <c r="S1113"/>
      <c r="T1113"/>
      <c r="U1113"/>
      <c r="V1113"/>
      <c r="W1113">
        <v>18</v>
      </c>
    </row>
    <row r="1114" spans="1:23">
      <c r="A1114"/>
      <c r="B1114" t="s">
        <v>58</v>
      </c>
      <c r="C1114" t="s">
        <v>58</v>
      </c>
      <c r="D1114" t="s">
        <v>33</v>
      </c>
      <c r="E1114" t="s">
        <v>34</v>
      </c>
      <c r="F1114" t="str">
        <f>"0001430"</f>
        <v>0001430</v>
      </c>
      <c r="G1114">
        <v>1</v>
      </c>
      <c r="H1114" t="str">
        <f>"00000000"</f>
        <v>00000000</v>
      </c>
      <c r="I1114" t="s">
        <v>35</v>
      </c>
      <c r="J1114"/>
      <c r="K1114">
        <v>4.15</v>
      </c>
      <c r="L1114">
        <v>0.0</v>
      </c>
      <c r="M1114"/>
      <c r="N1114"/>
      <c r="O1114">
        <v>0.75</v>
      </c>
      <c r="P1114">
        <v>0.0</v>
      </c>
      <c r="Q1114">
        <v>4.9</v>
      </c>
      <c r="R1114"/>
      <c r="S1114"/>
      <c r="T1114"/>
      <c r="U1114"/>
      <c r="V1114"/>
      <c r="W1114">
        <v>18</v>
      </c>
    </row>
    <row r="1115" spans="1:23">
      <c r="A1115"/>
      <c r="B1115" t="s">
        <v>58</v>
      </c>
      <c r="C1115" t="s">
        <v>58</v>
      </c>
      <c r="D1115" t="s">
        <v>33</v>
      </c>
      <c r="E1115" t="s">
        <v>34</v>
      </c>
      <c r="F1115" t="str">
        <f>"0001431"</f>
        <v>0001431</v>
      </c>
      <c r="G1115">
        <v>1</v>
      </c>
      <c r="H1115" t="str">
        <f>"00000000"</f>
        <v>00000000</v>
      </c>
      <c r="I1115" t="s">
        <v>35</v>
      </c>
      <c r="J1115"/>
      <c r="K1115">
        <v>1.02</v>
      </c>
      <c r="L1115">
        <v>0.0</v>
      </c>
      <c r="M1115"/>
      <c r="N1115"/>
      <c r="O1115">
        <v>0.18</v>
      </c>
      <c r="P1115">
        <v>0.0</v>
      </c>
      <c r="Q1115">
        <v>1.2</v>
      </c>
      <c r="R1115"/>
      <c r="S1115"/>
      <c r="T1115"/>
      <c r="U1115"/>
      <c r="V1115"/>
      <c r="W1115">
        <v>18</v>
      </c>
    </row>
    <row r="1116" spans="1:23">
      <c r="A1116"/>
      <c r="B1116" t="s">
        <v>58</v>
      </c>
      <c r="C1116" t="s">
        <v>58</v>
      </c>
      <c r="D1116" t="s">
        <v>33</v>
      </c>
      <c r="E1116" t="s">
        <v>34</v>
      </c>
      <c r="F1116" t="str">
        <f>"0001432"</f>
        <v>0001432</v>
      </c>
      <c r="G1116">
        <v>1</v>
      </c>
      <c r="H1116" t="str">
        <f>"00000000"</f>
        <v>00000000</v>
      </c>
      <c r="I1116" t="s">
        <v>35</v>
      </c>
      <c r="J1116"/>
      <c r="K1116">
        <v>0.97</v>
      </c>
      <c r="L1116">
        <v>0.0</v>
      </c>
      <c r="M1116"/>
      <c r="N1116"/>
      <c r="O1116">
        <v>0.17</v>
      </c>
      <c r="P1116">
        <v>0.0</v>
      </c>
      <c r="Q1116">
        <v>1.14</v>
      </c>
      <c r="R1116"/>
      <c r="S1116"/>
      <c r="T1116"/>
      <c r="U1116"/>
      <c r="V1116"/>
      <c r="W1116">
        <v>18</v>
      </c>
    </row>
    <row r="1117" spans="1:23">
      <c r="A1117"/>
      <c r="B1117" t="s">
        <v>58</v>
      </c>
      <c r="C1117" t="s">
        <v>58</v>
      </c>
      <c r="D1117" t="s">
        <v>33</v>
      </c>
      <c r="E1117" t="s">
        <v>34</v>
      </c>
      <c r="F1117" t="str">
        <f>"0001433"</f>
        <v>0001433</v>
      </c>
      <c r="G1117">
        <v>1</v>
      </c>
      <c r="H1117" t="str">
        <f>"00000000"</f>
        <v>00000000</v>
      </c>
      <c r="I1117" t="s">
        <v>35</v>
      </c>
      <c r="J1117"/>
      <c r="K1117">
        <v>4.68</v>
      </c>
      <c r="L1117">
        <v>0.0</v>
      </c>
      <c r="M1117"/>
      <c r="N1117"/>
      <c r="O1117">
        <v>0.84</v>
      </c>
      <c r="P1117">
        <v>0.0</v>
      </c>
      <c r="Q1117">
        <v>5.52</v>
      </c>
      <c r="R1117"/>
      <c r="S1117"/>
      <c r="T1117"/>
      <c r="U1117"/>
      <c r="V1117"/>
      <c r="W1117">
        <v>18</v>
      </c>
    </row>
    <row r="1118" spans="1:23">
      <c r="A1118"/>
      <c r="B1118" t="s">
        <v>58</v>
      </c>
      <c r="C1118" t="s">
        <v>58</v>
      </c>
      <c r="D1118" t="s">
        <v>33</v>
      </c>
      <c r="E1118" t="s">
        <v>34</v>
      </c>
      <c r="F1118" t="str">
        <f>"0001434"</f>
        <v>0001434</v>
      </c>
      <c r="G1118">
        <v>1</v>
      </c>
      <c r="H1118" t="str">
        <f>"00000000"</f>
        <v>00000000</v>
      </c>
      <c r="I1118" t="s">
        <v>35</v>
      </c>
      <c r="J1118"/>
      <c r="K1118">
        <v>4.92</v>
      </c>
      <c r="L1118">
        <v>0.0</v>
      </c>
      <c r="M1118"/>
      <c r="N1118"/>
      <c r="O1118">
        <v>0.88</v>
      </c>
      <c r="P1118">
        <v>0.0</v>
      </c>
      <c r="Q1118">
        <v>5.8</v>
      </c>
      <c r="R1118"/>
      <c r="S1118"/>
      <c r="T1118"/>
      <c r="U1118"/>
      <c r="V1118"/>
      <c r="W1118">
        <v>18</v>
      </c>
    </row>
    <row r="1119" spans="1:23">
      <c r="A1119"/>
      <c r="B1119" t="s">
        <v>58</v>
      </c>
      <c r="C1119" t="s">
        <v>58</v>
      </c>
      <c r="D1119" t="s">
        <v>33</v>
      </c>
      <c r="E1119" t="s">
        <v>34</v>
      </c>
      <c r="F1119" t="str">
        <f>"0001435"</f>
        <v>0001435</v>
      </c>
      <c r="G1119">
        <v>1</v>
      </c>
      <c r="H1119" t="str">
        <f>"00000000"</f>
        <v>00000000</v>
      </c>
      <c r="I1119" t="s">
        <v>35</v>
      </c>
      <c r="J1119"/>
      <c r="K1119">
        <v>15.08</v>
      </c>
      <c r="L1119">
        <v>0.0</v>
      </c>
      <c r="M1119"/>
      <c r="N1119"/>
      <c r="O1119">
        <v>2.72</v>
      </c>
      <c r="P1119">
        <v>0.0</v>
      </c>
      <c r="Q1119">
        <v>17.8</v>
      </c>
      <c r="R1119"/>
      <c r="S1119"/>
      <c r="T1119"/>
      <c r="U1119"/>
      <c r="V1119"/>
      <c r="W1119">
        <v>18</v>
      </c>
    </row>
    <row r="1120" spans="1:23">
      <c r="A1120"/>
      <c r="B1120" t="s">
        <v>58</v>
      </c>
      <c r="C1120" t="s">
        <v>58</v>
      </c>
      <c r="D1120" t="s">
        <v>33</v>
      </c>
      <c r="E1120" t="s">
        <v>34</v>
      </c>
      <c r="F1120" t="str">
        <f>"0001436"</f>
        <v>0001436</v>
      </c>
      <c r="G1120">
        <v>1</v>
      </c>
      <c r="H1120" t="str">
        <f>"00000000"</f>
        <v>00000000</v>
      </c>
      <c r="I1120" t="s">
        <v>35</v>
      </c>
      <c r="J1120"/>
      <c r="K1120">
        <v>5.51</v>
      </c>
      <c r="L1120">
        <v>0.0</v>
      </c>
      <c r="M1120"/>
      <c r="N1120"/>
      <c r="O1120">
        <v>0.99</v>
      </c>
      <c r="P1120">
        <v>0.2</v>
      </c>
      <c r="Q1120">
        <v>6.71</v>
      </c>
      <c r="R1120"/>
      <c r="S1120"/>
      <c r="T1120"/>
      <c r="U1120"/>
      <c r="V1120"/>
      <c r="W1120">
        <v>18</v>
      </c>
    </row>
    <row r="1121" spans="1:23">
      <c r="A1121"/>
      <c r="B1121" t="s">
        <v>58</v>
      </c>
      <c r="C1121" t="s">
        <v>58</v>
      </c>
      <c r="D1121" t="s">
        <v>33</v>
      </c>
      <c r="E1121" t="s">
        <v>34</v>
      </c>
      <c r="F1121" t="str">
        <f>"0001437"</f>
        <v>0001437</v>
      </c>
      <c r="G1121">
        <v>1</v>
      </c>
      <c r="H1121" t="str">
        <f>"00000000"</f>
        <v>00000000</v>
      </c>
      <c r="I1121" t="s">
        <v>35</v>
      </c>
      <c r="J1121"/>
      <c r="K1121">
        <v>38.29</v>
      </c>
      <c r="L1121">
        <v>0.0</v>
      </c>
      <c r="M1121"/>
      <c r="N1121"/>
      <c r="O1121">
        <v>6.89</v>
      </c>
      <c r="P1121">
        <v>0.4</v>
      </c>
      <c r="Q1121">
        <v>45.59</v>
      </c>
      <c r="R1121"/>
      <c r="S1121"/>
      <c r="T1121"/>
      <c r="U1121"/>
      <c r="V1121"/>
      <c r="W1121">
        <v>18</v>
      </c>
    </row>
    <row r="1122" spans="1:23">
      <c r="A1122"/>
      <c r="B1122" t="s">
        <v>58</v>
      </c>
      <c r="C1122" t="s">
        <v>58</v>
      </c>
      <c r="D1122" t="s">
        <v>33</v>
      </c>
      <c r="E1122" t="s">
        <v>34</v>
      </c>
      <c r="F1122" t="str">
        <f>"0001438"</f>
        <v>0001438</v>
      </c>
      <c r="G1122">
        <v>1</v>
      </c>
      <c r="H1122" t="str">
        <f>"00000000"</f>
        <v>00000000</v>
      </c>
      <c r="I1122" t="s">
        <v>35</v>
      </c>
      <c r="J1122"/>
      <c r="K1122">
        <v>25.34</v>
      </c>
      <c r="L1122">
        <v>0.0</v>
      </c>
      <c r="M1122"/>
      <c r="N1122"/>
      <c r="O1122">
        <v>4.56</v>
      </c>
      <c r="P1122">
        <v>0.0</v>
      </c>
      <c r="Q1122">
        <v>29.9</v>
      </c>
      <c r="R1122"/>
      <c r="S1122"/>
      <c r="T1122"/>
      <c r="U1122"/>
      <c r="V1122"/>
      <c r="W1122">
        <v>18</v>
      </c>
    </row>
    <row r="1123" spans="1:23">
      <c r="A1123"/>
      <c r="B1123" t="s">
        <v>58</v>
      </c>
      <c r="C1123" t="s">
        <v>58</v>
      </c>
      <c r="D1123" t="s">
        <v>33</v>
      </c>
      <c r="E1123" t="s">
        <v>34</v>
      </c>
      <c r="F1123" t="str">
        <f>"0001439"</f>
        <v>0001439</v>
      </c>
      <c r="G1123">
        <v>1</v>
      </c>
      <c r="H1123" t="str">
        <f>"00000000"</f>
        <v>00000000</v>
      </c>
      <c r="I1123" t="s">
        <v>35</v>
      </c>
      <c r="J1123"/>
      <c r="K1123">
        <v>46.25</v>
      </c>
      <c r="L1123">
        <v>0.0</v>
      </c>
      <c r="M1123"/>
      <c r="N1123"/>
      <c r="O1123">
        <v>8.32</v>
      </c>
      <c r="P1123">
        <v>0.0</v>
      </c>
      <c r="Q1123">
        <v>54.57</v>
      </c>
      <c r="R1123"/>
      <c r="S1123"/>
      <c r="T1123"/>
      <c r="U1123"/>
      <c r="V1123"/>
      <c r="W1123">
        <v>18</v>
      </c>
    </row>
    <row r="1124" spans="1:23">
      <c r="A1124"/>
      <c r="B1124" t="s">
        <v>58</v>
      </c>
      <c r="C1124" t="s">
        <v>58</v>
      </c>
      <c r="D1124" t="s">
        <v>33</v>
      </c>
      <c r="E1124" t="s">
        <v>34</v>
      </c>
      <c r="F1124" t="str">
        <f>"0001440"</f>
        <v>0001440</v>
      </c>
      <c r="G1124">
        <v>1</v>
      </c>
      <c r="H1124" t="str">
        <f>"00000000"</f>
        <v>00000000</v>
      </c>
      <c r="I1124" t="s">
        <v>35</v>
      </c>
      <c r="J1124"/>
      <c r="K1124">
        <v>1.16</v>
      </c>
      <c r="L1124">
        <v>0.0</v>
      </c>
      <c r="M1124"/>
      <c r="N1124"/>
      <c r="O1124">
        <v>0.21</v>
      </c>
      <c r="P1124">
        <v>0.0</v>
      </c>
      <c r="Q1124">
        <v>1.37</v>
      </c>
      <c r="R1124"/>
      <c r="S1124"/>
      <c r="T1124"/>
      <c r="U1124"/>
      <c r="V1124"/>
      <c r="W1124">
        <v>18</v>
      </c>
    </row>
    <row r="1125" spans="1:23">
      <c r="A1125"/>
      <c r="B1125" t="s">
        <v>58</v>
      </c>
      <c r="C1125" t="s">
        <v>58</v>
      </c>
      <c r="D1125" t="s">
        <v>33</v>
      </c>
      <c r="E1125" t="s">
        <v>34</v>
      </c>
      <c r="F1125" t="str">
        <f>"0001441"</f>
        <v>0001441</v>
      </c>
      <c r="G1125">
        <v>1</v>
      </c>
      <c r="H1125" t="str">
        <f>"00000000"</f>
        <v>00000000</v>
      </c>
      <c r="I1125" t="s">
        <v>35</v>
      </c>
      <c r="J1125"/>
      <c r="K1125">
        <v>1.82</v>
      </c>
      <c r="L1125">
        <v>0.0</v>
      </c>
      <c r="M1125"/>
      <c r="N1125"/>
      <c r="O1125">
        <v>0.33</v>
      </c>
      <c r="P1125">
        <v>0.0</v>
      </c>
      <c r="Q1125">
        <v>2.15</v>
      </c>
      <c r="R1125"/>
      <c r="S1125"/>
      <c r="T1125"/>
      <c r="U1125"/>
      <c r="V1125"/>
      <c r="W1125">
        <v>18</v>
      </c>
    </row>
    <row r="1126" spans="1:23">
      <c r="A1126"/>
      <c r="B1126" t="s">
        <v>58</v>
      </c>
      <c r="C1126" t="s">
        <v>58</v>
      </c>
      <c r="D1126" t="s">
        <v>33</v>
      </c>
      <c r="E1126" t="s">
        <v>34</v>
      </c>
      <c r="F1126" t="str">
        <f>"0001442"</f>
        <v>0001442</v>
      </c>
      <c r="G1126">
        <v>1</v>
      </c>
      <c r="H1126" t="str">
        <f>"00000000"</f>
        <v>00000000</v>
      </c>
      <c r="I1126" t="s">
        <v>35</v>
      </c>
      <c r="J1126"/>
      <c r="K1126">
        <v>11.02</v>
      </c>
      <c r="L1126">
        <v>0.0</v>
      </c>
      <c r="M1126"/>
      <c r="N1126"/>
      <c r="O1126">
        <v>1.98</v>
      </c>
      <c r="P1126">
        <v>0.0</v>
      </c>
      <c r="Q1126">
        <v>13.0</v>
      </c>
      <c r="R1126"/>
      <c r="S1126"/>
      <c r="T1126"/>
      <c r="U1126"/>
      <c r="V1126"/>
      <c r="W1126">
        <v>18</v>
      </c>
    </row>
    <row r="1127" spans="1:23">
      <c r="A1127"/>
      <c r="B1127" t="s">
        <v>58</v>
      </c>
      <c r="C1127" t="s">
        <v>58</v>
      </c>
      <c r="D1127" t="s">
        <v>33</v>
      </c>
      <c r="E1127" t="s">
        <v>34</v>
      </c>
      <c r="F1127" t="str">
        <f>"0001443"</f>
        <v>0001443</v>
      </c>
      <c r="G1127">
        <v>1</v>
      </c>
      <c r="H1127" t="str">
        <f>"00000000"</f>
        <v>00000000</v>
      </c>
      <c r="I1127" t="s">
        <v>35</v>
      </c>
      <c r="J1127"/>
      <c r="K1127">
        <v>5.93</v>
      </c>
      <c r="L1127">
        <v>0.0</v>
      </c>
      <c r="M1127"/>
      <c r="N1127"/>
      <c r="O1127">
        <v>1.07</v>
      </c>
      <c r="P1127">
        <v>0.0</v>
      </c>
      <c r="Q1127">
        <v>7.0</v>
      </c>
      <c r="R1127"/>
      <c r="S1127"/>
      <c r="T1127"/>
      <c r="U1127"/>
      <c r="V1127"/>
      <c r="W1127">
        <v>18</v>
      </c>
    </row>
    <row r="1128" spans="1:23">
      <c r="A1128"/>
      <c r="B1128" t="s">
        <v>58</v>
      </c>
      <c r="C1128" t="s">
        <v>58</v>
      </c>
      <c r="D1128" t="s">
        <v>33</v>
      </c>
      <c r="E1128" t="s">
        <v>34</v>
      </c>
      <c r="F1128" t="str">
        <f>"0001444"</f>
        <v>0001444</v>
      </c>
      <c r="G1128">
        <v>1</v>
      </c>
      <c r="H1128" t="str">
        <f>"00000000"</f>
        <v>00000000</v>
      </c>
      <c r="I1128" t="s">
        <v>35</v>
      </c>
      <c r="J1128"/>
      <c r="K1128">
        <v>28.1</v>
      </c>
      <c r="L1128">
        <v>0.0</v>
      </c>
      <c r="M1128"/>
      <c r="N1128"/>
      <c r="O1128">
        <v>5.06</v>
      </c>
      <c r="P1128">
        <v>0.4</v>
      </c>
      <c r="Q1128">
        <v>33.56</v>
      </c>
      <c r="R1128"/>
      <c r="S1128"/>
      <c r="T1128"/>
      <c r="U1128"/>
      <c r="V1128"/>
      <c r="W1128">
        <v>18</v>
      </c>
    </row>
    <row r="1129" spans="1:23">
      <c r="A1129"/>
      <c r="B1129" t="s">
        <v>58</v>
      </c>
      <c r="C1129" t="s">
        <v>58</v>
      </c>
      <c r="D1129" t="s">
        <v>33</v>
      </c>
      <c r="E1129" t="s">
        <v>34</v>
      </c>
      <c r="F1129" t="str">
        <f>"0001445"</f>
        <v>0001445</v>
      </c>
      <c r="G1129">
        <v>1</v>
      </c>
      <c r="H1129" t="str">
        <f>"00000000"</f>
        <v>00000000</v>
      </c>
      <c r="I1129" t="s">
        <v>35</v>
      </c>
      <c r="J1129"/>
      <c r="K1129">
        <v>30.38</v>
      </c>
      <c r="L1129">
        <v>0.0</v>
      </c>
      <c r="M1129"/>
      <c r="N1129"/>
      <c r="O1129">
        <v>5.47</v>
      </c>
      <c r="P1129">
        <v>0.2</v>
      </c>
      <c r="Q1129">
        <v>36.05</v>
      </c>
      <c r="R1129"/>
      <c r="S1129"/>
      <c r="T1129"/>
      <c r="U1129"/>
      <c r="V1129"/>
      <c r="W1129">
        <v>18</v>
      </c>
    </row>
    <row r="1130" spans="1:23">
      <c r="A1130"/>
      <c r="B1130" t="s">
        <v>58</v>
      </c>
      <c r="C1130" t="s">
        <v>58</v>
      </c>
      <c r="D1130" t="s">
        <v>33</v>
      </c>
      <c r="E1130" t="s">
        <v>34</v>
      </c>
      <c r="F1130" t="str">
        <f>"0001446"</f>
        <v>0001446</v>
      </c>
      <c r="G1130">
        <v>1</v>
      </c>
      <c r="H1130" t="str">
        <f>"00000000"</f>
        <v>00000000</v>
      </c>
      <c r="I1130" t="s">
        <v>35</v>
      </c>
      <c r="J1130"/>
      <c r="K1130">
        <v>10.17</v>
      </c>
      <c r="L1130">
        <v>0.0</v>
      </c>
      <c r="M1130"/>
      <c r="N1130"/>
      <c r="O1130">
        <v>1.83</v>
      </c>
      <c r="P1130">
        <v>0.2</v>
      </c>
      <c r="Q1130">
        <v>12.2</v>
      </c>
      <c r="R1130"/>
      <c r="S1130"/>
      <c r="T1130"/>
      <c r="U1130"/>
      <c r="V1130"/>
      <c r="W1130">
        <v>18</v>
      </c>
    </row>
    <row r="1131" spans="1:23">
      <c r="A1131"/>
      <c r="B1131" t="s">
        <v>58</v>
      </c>
      <c r="C1131" t="s">
        <v>58</v>
      </c>
      <c r="D1131" t="s">
        <v>33</v>
      </c>
      <c r="E1131" t="s">
        <v>34</v>
      </c>
      <c r="F1131" t="str">
        <f>"0001447"</f>
        <v>0001447</v>
      </c>
      <c r="G1131">
        <v>1</v>
      </c>
      <c r="H1131" t="str">
        <f>"00000000"</f>
        <v>00000000</v>
      </c>
      <c r="I1131" t="s">
        <v>35</v>
      </c>
      <c r="J1131"/>
      <c r="K1131">
        <v>17.4</v>
      </c>
      <c r="L1131">
        <v>0.0</v>
      </c>
      <c r="M1131"/>
      <c r="N1131"/>
      <c r="O1131">
        <v>3.13</v>
      </c>
      <c r="P1131">
        <v>0.2</v>
      </c>
      <c r="Q1131">
        <v>20.73</v>
      </c>
      <c r="R1131"/>
      <c r="S1131"/>
      <c r="T1131"/>
      <c r="U1131"/>
      <c r="V1131"/>
      <c r="W1131">
        <v>18</v>
      </c>
    </row>
    <row r="1132" spans="1:23">
      <c r="A1132"/>
      <c r="B1132" t="s">
        <v>58</v>
      </c>
      <c r="C1132" t="s">
        <v>58</v>
      </c>
      <c r="D1132" t="s">
        <v>33</v>
      </c>
      <c r="E1132" t="s">
        <v>34</v>
      </c>
      <c r="F1132" t="str">
        <f>"0001448"</f>
        <v>0001448</v>
      </c>
      <c r="G1132">
        <v>1</v>
      </c>
      <c r="H1132" t="str">
        <f>"00000000"</f>
        <v>00000000</v>
      </c>
      <c r="I1132" t="s">
        <v>35</v>
      </c>
      <c r="J1132"/>
      <c r="K1132">
        <v>10.59</v>
      </c>
      <c r="L1132">
        <v>0.0</v>
      </c>
      <c r="M1132"/>
      <c r="N1132"/>
      <c r="O1132">
        <v>1.91</v>
      </c>
      <c r="P1132">
        <v>0.0</v>
      </c>
      <c r="Q1132">
        <v>12.5</v>
      </c>
      <c r="R1132"/>
      <c r="S1132"/>
      <c r="T1132"/>
      <c r="U1132"/>
      <c r="V1132"/>
      <c r="W1132">
        <v>18</v>
      </c>
    </row>
    <row r="1133" spans="1:23">
      <c r="A1133"/>
      <c r="B1133" t="s">
        <v>58</v>
      </c>
      <c r="C1133" t="s">
        <v>58</v>
      </c>
      <c r="D1133" t="s">
        <v>33</v>
      </c>
      <c r="E1133" t="s">
        <v>34</v>
      </c>
      <c r="F1133" t="str">
        <f>"0001449"</f>
        <v>0001449</v>
      </c>
      <c r="G1133">
        <v>1</v>
      </c>
      <c r="H1133" t="str">
        <f>"00000000"</f>
        <v>00000000</v>
      </c>
      <c r="I1133" t="s">
        <v>35</v>
      </c>
      <c r="J1133"/>
      <c r="K1133">
        <v>6.36</v>
      </c>
      <c r="L1133">
        <v>0.0</v>
      </c>
      <c r="M1133"/>
      <c r="N1133"/>
      <c r="O1133">
        <v>1.14</v>
      </c>
      <c r="P1133">
        <v>0.0</v>
      </c>
      <c r="Q1133">
        <v>7.5</v>
      </c>
      <c r="R1133"/>
      <c r="S1133"/>
      <c r="T1133"/>
      <c r="U1133"/>
      <c r="V1133"/>
      <c r="W1133">
        <v>18</v>
      </c>
    </row>
    <row r="1134" spans="1:23">
      <c r="A1134"/>
      <c r="B1134" t="s">
        <v>58</v>
      </c>
      <c r="C1134" t="s">
        <v>58</v>
      </c>
      <c r="D1134" t="s">
        <v>33</v>
      </c>
      <c r="E1134" t="s">
        <v>34</v>
      </c>
      <c r="F1134" t="str">
        <f>"0001450"</f>
        <v>0001450</v>
      </c>
      <c r="G1134">
        <v>1</v>
      </c>
      <c r="H1134" t="str">
        <f>"00000000"</f>
        <v>00000000</v>
      </c>
      <c r="I1134" t="s">
        <v>35</v>
      </c>
      <c r="J1134"/>
      <c r="K1134">
        <v>23.6</v>
      </c>
      <c r="L1134">
        <v>0.0</v>
      </c>
      <c r="M1134"/>
      <c r="N1134"/>
      <c r="O1134">
        <v>4.25</v>
      </c>
      <c r="P1134">
        <v>0.0</v>
      </c>
      <c r="Q1134">
        <v>27.85</v>
      </c>
      <c r="R1134"/>
      <c r="S1134"/>
      <c r="T1134"/>
      <c r="U1134"/>
      <c r="V1134"/>
      <c r="W1134">
        <v>18</v>
      </c>
    </row>
    <row r="1135" spans="1:23">
      <c r="A1135"/>
      <c r="B1135" t="s">
        <v>58</v>
      </c>
      <c r="C1135" t="s">
        <v>58</v>
      </c>
      <c r="D1135" t="s">
        <v>33</v>
      </c>
      <c r="E1135" t="s">
        <v>34</v>
      </c>
      <c r="F1135" t="str">
        <f>"0001451"</f>
        <v>0001451</v>
      </c>
      <c r="G1135">
        <v>1</v>
      </c>
      <c r="H1135" t="str">
        <f>"00000000"</f>
        <v>00000000</v>
      </c>
      <c r="I1135" t="s">
        <v>35</v>
      </c>
      <c r="J1135"/>
      <c r="K1135">
        <v>5.93</v>
      </c>
      <c r="L1135">
        <v>0.0</v>
      </c>
      <c r="M1135"/>
      <c r="N1135"/>
      <c r="O1135">
        <v>1.07</v>
      </c>
      <c r="P1135">
        <v>0.0</v>
      </c>
      <c r="Q1135">
        <v>7.0</v>
      </c>
      <c r="R1135"/>
      <c r="S1135"/>
      <c r="T1135"/>
      <c r="U1135"/>
      <c r="V1135"/>
      <c r="W1135">
        <v>18</v>
      </c>
    </row>
    <row r="1136" spans="1:23">
      <c r="A1136"/>
      <c r="B1136" t="s">
        <v>58</v>
      </c>
      <c r="C1136" t="s">
        <v>58</v>
      </c>
      <c r="D1136" t="s">
        <v>33</v>
      </c>
      <c r="E1136" t="s">
        <v>34</v>
      </c>
      <c r="F1136" t="str">
        <f>"0001452"</f>
        <v>0001452</v>
      </c>
      <c r="G1136">
        <v>1</v>
      </c>
      <c r="H1136" t="str">
        <f>"00000000"</f>
        <v>00000000</v>
      </c>
      <c r="I1136" t="s">
        <v>35</v>
      </c>
      <c r="J1136"/>
      <c r="K1136">
        <v>0.08</v>
      </c>
      <c r="L1136">
        <v>0.0</v>
      </c>
      <c r="M1136"/>
      <c r="N1136"/>
      <c r="O1136">
        <v>0.02</v>
      </c>
      <c r="P1136">
        <v>0.2</v>
      </c>
      <c r="Q1136">
        <v>0.3</v>
      </c>
      <c r="R1136"/>
      <c r="S1136"/>
      <c r="T1136"/>
      <c r="U1136"/>
      <c r="V1136"/>
      <c r="W1136">
        <v>18</v>
      </c>
    </row>
    <row r="1137" spans="1:23">
      <c r="A1137"/>
      <c r="B1137" t="s">
        <v>58</v>
      </c>
      <c r="C1137" t="s">
        <v>58</v>
      </c>
      <c r="D1137" t="s">
        <v>33</v>
      </c>
      <c r="E1137" t="s">
        <v>34</v>
      </c>
      <c r="F1137" t="str">
        <f>"0001453"</f>
        <v>0001453</v>
      </c>
      <c r="G1137">
        <v>1</v>
      </c>
      <c r="H1137" t="str">
        <f>"00000000"</f>
        <v>00000000</v>
      </c>
      <c r="I1137" t="s">
        <v>35</v>
      </c>
      <c r="J1137"/>
      <c r="K1137">
        <v>2.54</v>
      </c>
      <c r="L1137">
        <v>0.0</v>
      </c>
      <c r="M1137"/>
      <c r="N1137"/>
      <c r="O1137">
        <v>0.46</v>
      </c>
      <c r="P1137">
        <v>0.0</v>
      </c>
      <c r="Q1137">
        <v>3.0</v>
      </c>
      <c r="R1137"/>
      <c r="S1137"/>
      <c r="T1137"/>
      <c r="U1137"/>
      <c r="V1137"/>
      <c r="W1137">
        <v>18</v>
      </c>
    </row>
    <row r="1138" spans="1:23">
      <c r="A1138"/>
      <c r="B1138" t="s">
        <v>58</v>
      </c>
      <c r="C1138" t="s">
        <v>58</v>
      </c>
      <c r="D1138" t="s">
        <v>33</v>
      </c>
      <c r="E1138" t="s">
        <v>34</v>
      </c>
      <c r="F1138" t="str">
        <f>"0001454"</f>
        <v>0001454</v>
      </c>
      <c r="G1138">
        <v>1</v>
      </c>
      <c r="H1138" t="str">
        <f>"00000000"</f>
        <v>00000000</v>
      </c>
      <c r="I1138" t="s">
        <v>35</v>
      </c>
      <c r="J1138"/>
      <c r="K1138">
        <v>1.86</v>
      </c>
      <c r="L1138">
        <v>0.0</v>
      </c>
      <c r="M1138"/>
      <c r="N1138"/>
      <c r="O1138">
        <v>0.34</v>
      </c>
      <c r="P1138">
        <v>0.0</v>
      </c>
      <c r="Q1138">
        <v>2.2</v>
      </c>
      <c r="R1138"/>
      <c r="S1138"/>
      <c r="T1138"/>
      <c r="U1138"/>
      <c r="V1138"/>
      <c r="W1138">
        <v>18</v>
      </c>
    </row>
    <row r="1139" spans="1:23">
      <c r="A1139"/>
      <c r="B1139" t="s">
        <v>58</v>
      </c>
      <c r="C1139" t="s">
        <v>58</v>
      </c>
      <c r="D1139" t="s">
        <v>33</v>
      </c>
      <c r="E1139" t="s">
        <v>34</v>
      </c>
      <c r="F1139" t="str">
        <f>"0001455"</f>
        <v>0001455</v>
      </c>
      <c r="G1139">
        <v>1</v>
      </c>
      <c r="H1139" t="str">
        <f>"00000000"</f>
        <v>00000000</v>
      </c>
      <c r="I1139" t="s">
        <v>35</v>
      </c>
      <c r="J1139"/>
      <c r="K1139">
        <v>11.6</v>
      </c>
      <c r="L1139">
        <v>0.0</v>
      </c>
      <c r="M1139"/>
      <c r="N1139"/>
      <c r="O1139">
        <v>2.09</v>
      </c>
      <c r="P1139">
        <v>0.2</v>
      </c>
      <c r="Q1139">
        <v>13.88</v>
      </c>
      <c r="R1139"/>
      <c r="S1139"/>
      <c r="T1139"/>
      <c r="U1139"/>
      <c r="V1139"/>
      <c r="W1139">
        <v>18</v>
      </c>
    </row>
    <row r="1140" spans="1:23">
      <c r="A1140"/>
      <c r="B1140" t="s">
        <v>58</v>
      </c>
      <c r="C1140" t="s">
        <v>58</v>
      </c>
      <c r="D1140" t="s">
        <v>33</v>
      </c>
      <c r="E1140" t="s">
        <v>34</v>
      </c>
      <c r="F1140" t="str">
        <f>"0001456"</f>
        <v>0001456</v>
      </c>
      <c r="G1140">
        <v>1</v>
      </c>
      <c r="H1140" t="str">
        <f>"00000000"</f>
        <v>00000000</v>
      </c>
      <c r="I1140" t="s">
        <v>35</v>
      </c>
      <c r="J1140"/>
      <c r="K1140">
        <v>45.6</v>
      </c>
      <c r="L1140">
        <v>0.0</v>
      </c>
      <c r="M1140"/>
      <c r="N1140"/>
      <c r="O1140">
        <v>8.21</v>
      </c>
      <c r="P1140">
        <v>0.4</v>
      </c>
      <c r="Q1140">
        <v>54.21</v>
      </c>
      <c r="R1140"/>
      <c r="S1140"/>
      <c r="T1140"/>
      <c r="U1140"/>
      <c r="V1140"/>
      <c r="W1140">
        <v>18</v>
      </c>
    </row>
    <row r="1141" spans="1:23">
      <c r="A1141"/>
      <c r="B1141" t="s">
        <v>58</v>
      </c>
      <c r="C1141" t="s">
        <v>58</v>
      </c>
      <c r="D1141" t="s">
        <v>33</v>
      </c>
      <c r="E1141" t="s">
        <v>34</v>
      </c>
      <c r="F1141" t="str">
        <f>"0001457"</f>
        <v>0001457</v>
      </c>
      <c r="G1141">
        <v>1</v>
      </c>
      <c r="H1141" t="str">
        <f>"00000000"</f>
        <v>00000000</v>
      </c>
      <c r="I1141" t="s">
        <v>35</v>
      </c>
      <c r="J1141"/>
      <c r="K1141">
        <v>4.92</v>
      </c>
      <c r="L1141">
        <v>0.0</v>
      </c>
      <c r="M1141"/>
      <c r="N1141"/>
      <c r="O1141">
        <v>0.88</v>
      </c>
      <c r="P1141">
        <v>0.0</v>
      </c>
      <c r="Q1141">
        <v>5.8</v>
      </c>
      <c r="R1141"/>
      <c r="S1141"/>
      <c r="T1141"/>
      <c r="U1141"/>
      <c r="V1141"/>
      <c r="W1141">
        <v>18</v>
      </c>
    </row>
    <row r="1142" spans="1:23">
      <c r="A1142"/>
      <c r="B1142" t="s">
        <v>58</v>
      </c>
      <c r="C1142" t="s">
        <v>58</v>
      </c>
      <c r="D1142" t="s">
        <v>33</v>
      </c>
      <c r="E1142" t="s">
        <v>34</v>
      </c>
      <c r="F1142" t="str">
        <f>"0001458"</f>
        <v>0001458</v>
      </c>
      <c r="G1142">
        <v>1</v>
      </c>
      <c r="H1142" t="str">
        <f>"00000000"</f>
        <v>00000000</v>
      </c>
      <c r="I1142" t="s">
        <v>35</v>
      </c>
      <c r="J1142"/>
      <c r="K1142">
        <v>43.1</v>
      </c>
      <c r="L1142">
        <v>0.0</v>
      </c>
      <c r="M1142"/>
      <c r="N1142"/>
      <c r="O1142">
        <v>7.76</v>
      </c>
      <c r="P1142">
        <v>0.2</v>
      </c>
      <c r="Q1142">
        <v>51.05</v>
      </c>
      <c r="R1142"/>
      <c r="S1142"/>
      <c r="T1142"/>
      <c r="U1142"/>
      <c r="V1142"/>
      <c r="W1142">
        <v>18</v>
      </c>
    </row>
    <row r="1143" spans="1:23">
      <c r="A1143"/>
      <c r="B1143" t="s">
        <v>58</v>
      </c>
      <c r="C1143" t="s">
        <v>58</v>
      </c>
      <c r="D1143" t="s">
        <v>33</v>
      </c>
      <c r="E1143" t="s">
        <v>34</v>
      </c>
      <c r="F1143" t="str">
        <f>"0001459"</f>
        <v>0001459</v>
      </c>
      <c r="G1143">
        <v>1</v>
      </c>
      <c r="H1143" t="str">
        <f>"00000000"</f>
        <v>00000000</v>
      </c>
      <c r="I1143" t="s">
        <v>35</v>
      </c>
      <c r="J1143"/>
      <c r="K1143">
        <v>10.88</v>
      </c>
      <c r="L1143">
        <v>0.0</v>
      </c>
      <c r="M1143"/>
      <c r="N1143"/>
      <c r="O1143">
        <v>1.96</v>
      </c>
      <c r="P1143">
        <v>0.2</v>
      </c>
      <c r="Q1143">
        <v>13.04</v>
      </c>
      <c r="R1143"/>
      <c r="S1143"/>
      <c r="T1143"/>
      <c r="U1143"/>
      <c r="V1143"/>
      <c r="W1143">
        <v>18</v>
      </c>
    </row>
    <row r="1144" spans="1:23">
      <c r="A1144"/>
      <c r="B1144" t="s">
        <v>58</v>
      </c>
      <c r="C1144" t="s">
        <v>58</v>
      </c>
      <c r="D1144" t="s">
        <v>33</v>
      </c>
      <c r="E1144" t="s">
        <v>34</v>
      </c>
      <c r="F1144" t="str">
        <f>"0001460"</f>
        <v>0001460</v>
      </c>
      <c r="G1144">
        <v>1</v>
      </c>
      <c r="H1144" t="str">
        <f>"00000000"</f>
        <v>00000000</v>
      </c>
      <c r="I1144" t="s">
        <v>35</v>
      </c>
      <c r="J1144"/>
      <c r="K1144">
        <v>16.19</v>
      </c>
      <c r="L1144">
        <v>0.0</v>
      </c>
      <c r="M1144"/>
      <c r="N1144"/>
      <c r="O1144">
        <v>2.91</v>
      </c>
      <c r="P1144">
        <v>0.2</v>
      </c>
      <c r="Q1144">
        <v>19.3</v>
      </c>
      <c r="R1144"/>
      <c r="S1144"/>
      <c r="T1144"/>
      <c r="U1144"/>
      <c r="V1144"/>
      <c r="W1144">
        <v>18</v>
      </c>
    </row>
    <row r="1145" spans="1:23">
      <c r="A1145"/>
      <c r="B1145" t="s">
        <v>58</v>
      </c>
      <c r="C1145" t="s">
        <v>58</v>
      </c>
      <c r="D1145" t="s">
        <v>33</v>
      </c>
      <c r="E1145" t="s">
        <v>34</v>
      </c>
      <c r="F1145" t="str">
        <f>"0001461"</f>
        <v>0001461</v>
      </c>
      <c r="G1145">
        <v>1</v>
      </c>
      <c r="H1145" t="str">
        <f>"00000000"</f>
        <v>00000000</v>
      </c>
      <c r="I1145" t="s">
        <v>35</v>
      </c>
      <c r="J1145"/>
      <c r="K1145">
        <v>6.6</v>
      </c>
      <c r="L1145">
        <v>0.0</v>
      </c>
      <c r="M1145"/>
      <c r="N1145"/>
      <c r="O1145">
        <v>1.19</v>
      </c>
      <c r="P1145">
        <v>0.2</v>
      </c>
      <c r="Q1145">
        <v>7.99</v>
      </c>
      <c r="R1145"/>
      <c r="S1145"/>
      <c r="T1145"/>
      <c r="U1145"/>
      <c r="V1145"/>
      <c r="W1145">
        <v>18</v>
      </c>
    </row>
    <row r="1146" spans="1:23">
      <c r="A1146"/>
      <c r="B1146" t="s">
        <v>58</v>
      </c>
      <c r="C1146" t="s">
        <v>58</v>
      </c>
      <c r="D1146" t="s">
        <v>33</v>
      </c>
      <c r="E1146" t="s">
        <v>34</v>
      </c>
      <c r="F1146" t="str">
        <f>"0001462"</f>
        <v>0001462</v>
      </c>
      <c r="G1146">
        <v>1</v>
      </c>
      <c r="H1146" t="str">
        <f>"00000000"</f>
        <v>00000000</v>
      </c>
      <c r="I1146" t="s">
        <v>35</v>
      </c>
      <c r="J1146"/>
      <c r="K1146">
        <v>9.17</v>
      </c>
      <c r="L1146">
        <v>0.0</v>
      </c>
      <c r="M1146"/>
      <c r="N1146"/>
      <c r="O1146">
        <v>1.65</v>
      </c>
      <c r="P1146">
        <v>0.0</v>
      </c>
      <c r="Q1146">
        <v>10.82</v>
      </c>
      <c r="R1146"/>
      <c r="S1146"/>
      <c r="T1146"/>
      <c r="U1146"/>
      <c r="V1146"/>
      <c r="W1146">
        <v>18</v>
      </c>
    </row>
    <row r="1147" spans="1:23">
      <c r="A1147"/>
      <c r="B1147" t="s">
        <v>58</v>
      </c>
      <c r="C1147" t="s">
        <v>58</v>
      </c>
      <c r="D1147" t="s">
        <v>33</v>
      </c>
      <c r="E1147" t="s">
        <v>34</v>
      </c>
      <c r="F1147" t="str">
        <f>"0001463"</f>
        <v>0001463</v>
      </c>
      <c r="G1147">
        <v>1</v>
      </c>
      <c r="H1147" t="str">
        <f>"00000000"</f>
        <v>00000000</v>
      </c>
      <c r="I1147" t="s">
        <v>35</v>
      </c>
      <c r="J1147"/>
      <c r="K1147">
        <v>2.37</v>
      </c>
      <c r="L1147">
        <v>0.0</v>
      </c>
      <c r="M1147"/>
      <c r="N1147"/>
      <c r="O1147">
        <v>0.43</v>
      </c>
      <c r="P1147">
        <v>0.0</v>
      </c>
      <c r="Q1147">
        <v>2.8</v>
      </c>
      <c r="R1147"/>
      <c r="S1147"/>
      <c r="T1147"/>
      <c r="U1147"/>
      <c r="V1147"/>
      <c r="W1147">
        <v>18</v>
      </c>
    </row>
    <row r="1148" spans="1:23">
      <c r="A1148"/>
      <c r="B1148" t="s">
        <v>58</v>
      </c>
      <c r="C1148" t="s">
        <v>58</v>
      </c>
      <c r="D1148" t="s">
        <v>33</v>
      </c>
      <c r="E1148" t="s">
        <v>34</v>
      </c>
      <c r="F1148" t="str">
        <f>"0001464"</f>
        <v>0001464</v>
      </c>
      <c r="G1148">
        <v>1</v>
      </c>
      <c r="H1148" t="str">
        <f>"00000000"</f>
        <v>00000000</v>
      </c>
      <c r="I1148" t="s">
        <v>35</v>
      </c>
      <c r="J1148"/>
      <c r="K1148">
        <v>15.34</v>
      </c>
      <c r="L1148">
        <v>0.0</v>
      </c>
      <c r="M1148"/>
      <c r="N1148"/>
      <c r="O1148">
        <v>2.76</v>
      </c>
      <c r="P1148">
        <v>0.2</v>
      </c>
      <c r="Q1148">
        <v>18.3</v>
      </c>
      <c r="R1148"/>
      <c r="S1148"/>
      <c r="T1148"/>
      <c r="U1148"/>
      <c r="V1148"/>
      <c r="W1148">
        <v>18</v>
      </c>
    </row>
    <row r="1149" spans="1:23">
      <c r="A1149"/>
      <c r="B1149" t="s">
        <v>58</v>
      </c>
      <c r="C1149" t="s">
        <v>58</v>
      </c>
      <c r="D1149" t="s">
        <v>33</v>
      </c>
      <c r="E1149" t="s">
        <v>34</v>
      </c>
      <c r="F1149" t="str">
        <f>"0001465"</f>
        <v>0001465</v>
      </c>
      <c r="G1149">
        <v>1</v>
      </c>
      <c r="H1149" t="str">
        <f>"00000000"</f>
        <v>00000000</v>
      </c>
      <c r="I1149" t="s">
        <v>35</v>
      </c>
      <c r="J1149"/>
      <c r="K1149">
        <v>1.69</v>
      </c>
      <c r="L1149">
        <v>0.0</v>
      </c>
      <c r="M1149"/>
      <c r="N1149"/>
      <c r="O1149">
        <v>0.31</v>
      </c>
      <c r="P1149">
        <v>0.0</v>
      </c>
      <c r="Q1149">
        <v>2.0</v>
      </c>
      <c r="R1149"/>
      <c r="S1149"/>
      <c r="T1149"/>
      <c r="U1149"/>
      <c r="V1149"/>
      <c r="W1149">
        <v>18</v>
      </c>
    </row>
    <row r="1150" spans="1:23">
      <c r="A1150"/>
      <c r="B1150" t="s">
        <v>58</v>
      </c>
      <c r="C1150" t="s">
        <v>58</v>
      </c>
      <c r="D1150" t="s">
        <v>33</v>
      </c>
      <c r="E1150" t="s">
        <v>34</v>
      </c>
      <c r="F1150" t="str">
        <f>"0001466"</f>
        <v>0001466</v>
      </c>
      <c r="G1150">
        <v>1</v>
      </c>
      <c r="H1150" t="str">
        <f>"00000000"</f>
        <v>00000000</v>
      </c>
      <c r="I1150" t="s">
        <v>35</v>
      </c>
      <c r="J1150"/>
      <c r="K1150">
        <v>14.41</v>
      </c>
      <c r="L1150">
        <v>0.0</v>
      </c>
      <c r="M1150"/>
      <c r="N1150"/>
      <c r="O1150">
        <v>2.59</v>
      </c>
      <c r="P1150">
        <v>0.0</v>
      </c>
      <c r="Q1150">
        <v>17.0</v>
      </c>
      <c r="R1150"/>
      <c r="S1150"/>
      <c r="T1150"/>
      <c r="U1150"/>
      <c r="V1150"/>
      <c r="W1150">
        <v>18</v>
      </c>
    </row>
    <row r="1151" spans="1:23">
      <c r="A1151"/>
      <c r="B1151" t="s">
        <v>58</v>
      </c>
      <c r="C1151" t="s">
        <v>58</v>
      </c>
      <c r="D1151" t="s">
        <v>33</v>
      </c>
      <c r="E1151" t="s">
        <v>34</v>
      </c>
      <c r="F1151" t="str">
        <f>"0001467"</f>
        <v>0001467</v>
      </c>
      <c r="G1151">
        <v>1</v>
      </c>
      <c r="H1151" t="str">
        <f>"00000000"</f>
        <v>00000000</v>
      </c>
      <c r="I1151" t="s">
        <v>35</v>
      </c>
      <c r="J1151"/>
      <c r="K1151">
        <v>43.53</v>
      </c>
      <c r="L1151">
        <v>0.0</v>
      </c>
      <c r="M1151"/>
      <c r="N1151"/>
      <c r="O1151">
        <v>7.84</v>
      </c>
      <c r="P1151">
        <v>0.4</v>
      </c>
      <c r="Q1151">
        <v>51.77</v>
      </c>
      <c r="R1151"/>
      <c r="S1151"/>
      <c r="T1151"/>
      <c r="U1151"/>
      <c r="V1151"/>
      <c r="W1151">
        <v>18</v>
      </c>
    </row>
    <row r="1152" spans="1:23">
      <c r="A1152"/>
      <c r="B1152" t="s">
        <v>58</v>
      </c>
      <c r="C1152" t="s">
        <v>58</v>
      </c>
      <c r="D1152" t="s">
        <v>33</v>
      </c>
      <c r="E1152" t="s">
        <v>34</v>
      </c>
      <c r="F1152" t="str">
        <f>"0001468"</f>
        <v>0001468</v>
      </c>
      <c r="G1152">
        <v>1</v>
      </c>
      <c r="H1152" t="str">
        <f>"00000000"</f>
        <v>00000000</v>
      </c>
      <c r="I1152" t="s">
        <v>35</v>
      </c>
      <c r="J1152"/>
      <c r="K1152">
        <v>19.18</v>
      </c>
      <c r="L1152">
        <v>0.0</v>
      </c>
      <c r="M1152"/>
      <c r="N1152"/>
      <c r="O1152">
        <v>3.45</v>
      </c>
      <c r="P1152">
        <v>0.2</v>
      </c>
      <c r="Q1152">
        <v>22.83</v>
      </c>
      <c r="R1152"/>
      <c r="S1152"/>
      <c r="T1152"/>
      <c r="U1152"/>
      <c r="V1152"/>
      <c r="W1152">
        <v>18</v>
      </c>
    </row>
    <row r="1153" spans="1:23">
      <c r="A1153"/>
      <c r="B1153" t="s">
        <v>58</v>
      </c>
      <c r="C1153" t="s">
        <v>58</v>
      </c>
      <c r="D1153" t="s">
        <v>33</v>
      </c>
      <c r="E1153" t="s">
        <v>34</v>
      </c>
      <c r="F1153" t="str">
        <f>"0001469"</f>
        <v>0001469</v>
      </c>
      <c r="G1153">
        <v>1</v>
      </c>
      <c r="H1153" t="str">
        <f>"00000000"</f>
        <v>00000000</v>
      </c>
      <c r="I1153" t="s">
        <v>35</v>
      </c>
      <c r="J1153"/>
      <c r="K1153">
        <v>3.9</v>
      </c>
      <c r="L1153">
        <v>0.0</v>
      </c>
      <c r="M1153"/>
      <c r="N1153"/>
      <c r="O1153">
        <v>0.7</v>
      </c>
      <c r="P1153">
        <v>0.0</v>
      </c>
      <c r="Q1153">
        <v>4.61</v>
      </c>
      <c r="R1153"/>
      <c r="S1153"/>
      <c r="T1153"/>
      <c r="U1153"/>
      <c r="V1153"/>
      <c r="W1153">
        <v>18</v>
      </c>
    </row>
    <row r="1154" spans="1:23">
      <c r="A1154"/>
      <c r="B1154" t="s">
        <v>58</v>
      </c>
      <c r="C1154" t="s">
        <v>58</v>
      </c>
      <c r="D1154" t="s">
        <v>33</v>
      </c>
      <c r="E1154" t="s">
        <v>34</v>
      </c>
      <c r="F1154" t="str">
        <f>"0001470"</f>
        <v>0001470</v>
      </c>
      <c r="G1154">
        <v>1</v>
      </c>
      <c r="H1154" t="str">
        <f>"00000000"</f>
        <v>00000000</v>
      </c>
      <c r="I1154" t="s">
        <v>35</v>
      </c>
      <c r="J1154"/>
      <c r="K1154">
        <v>10.58</v>
      </c>
      <c r="L1154">
        <v>0.0</v>
      </c>
      <c r="M1154"/>
      <c r="N1154"/>
      <c r="O1154">
        <v>1.91</v>
      </c>
      <c r="P1154">
        <v>0.0</v>
      </c>
      <c r="Q1154">
        <v>12.49</v>
      </c>
      <c r="R1154"/>
      <c r="S1154"/>
      <c r="T1154"/>
      <c r="U1154"/>
      <c r="V1154"/>
      <c r="W1154">
        <v>18</v>
      </c>
    </row>
    <row r="1155" spans="1:23">
      <c r="A1155"/>
      <c r="B1155" t="s">
        <v>58</v>
      </c>
      <c r="C1155" t="s">
        <v>58</v>
      </c>
      <c r="D1155" t="s">
        <v>33</v>
      </c>
      <c r="E1155" t="s">
        <v>34</v>
      </c>
      <c r="F1155" t="str">
        <f>"0001471"</f>
        <v>0001471</v>
      </c>
      <c r="G1155">
        <v>1</v>
      </c>
      <c r="H1155" t="str">
        <f>"00000000"</f>
        <v>00000000</v>
      </c>
      <c r="I1155" t="s">
        <v>35</v>
      </c>
      <c r="J1155"/>
      <c r="K1155">
        <v>30.83</v>
      </c>
      <c r="L1155">
        <v>0.0</v>
      </c>
      <c r="M1155"/>
      <c r="N1155"/>
      <c r="O1155">
        <v>5.55</v>
      </c>
      <c r="P1155">
        <v>0.2</v>
      </c>
      <c r="Q1155">
        <v>36.58</v>
      </c>
      <c r="R1155"/>
      <c r="S1155"/>
      <c r="T1155"/>
      <c r="U1155"/>
      <c r="V1155"/>
      <c r="W1155">
        <v>18</v>
      </c>
    </row>
    <row r="1156" spans="1:23">
      <c r="A1156"/>
      <c r="B1156" t="s">
        <v>58</v>
      </c>
      <c r="C1156" t="s">
        <v>58</v>
      </c>
      <c r="D1156" t="s">
        <v>33</v>
      </c>
      <c r="E1156" t="s">
        <v>34</v>
      </c>
      <c r="F1156" t="str">
        <f>"0001472"</f>
        <v>0001472</v>
      </c>
      <c r="G1156">
        <v>1</v>
      </c>
      <c r="H1156" t="str">
        <f>"00000000"</f>
        <v>00000000</v>
      </c>
      <c r="I1156" t="s">
        <v>35</v>
      </c>
      <c r="J1156"/>
      <c r="K1156">
        <v>5.93</v>
      </c>
      <c r="L1156">
        <v>0.0</v>
      </c>
      <c r="M1156"/>
      <c r="N1156"/>
      <c r="O1156">
        <v>1.07</v>
      </c>
      <c r="P1156">
        <v>0.0</v>
      </c>
      <c r="Q1156">
        <v>7.0</v>
      </c>
      <c r="R1156"/>
      <c r="S1156"/>
      <c r="T1156"/>
      <c r="U1156"/>
      <c r="V1156"/>
      <c r="W1156">
        <v>18</v>
      </c>
    </row>
    <row r="1157" spans="1:23">
      <c r="A1157"/>
      <c r="B1157" t="s">
        <v>58</v>
      </c>
      <c r="C1157" t="s">
        <v>58</v>
      </c>
      <c r="D1157" t="s">
        <v>33</v>
      </c>
      <c r="E1157" t="s">
        <v>34</v>
      </c>
      <c r="F1157" t="str">
        <f>"0001473"</f>
        <v>0001473</v>
      </c>
      <c r="G1157">
        <v>1</v>
      </c>
      <c r="H1157" t="str">
        <f>"00000000"</f>
        <v>00000000</v>
      </c>
      <c r="I1157" t="s">
        <v>35</v>
      </c>
      <c r="J1157"/>
      <c r="K1157">
        <v>125.45</v>
      </c>
      <c r="L1157">
        <v>0.0</v>
      </c>
      <c r="M1157"/>
      <c r="N1157"/>
      <c r="O1157">
        <v>22.58</v>
      </c>
      <c r="P1157">
        <v>0.4</v>
      </c>
      <c r="Q1157">
        <v>148.43</v>
      </c>
      <c r="R1157"/>
      <c r="S1157"/>
      <c r="T1157"/>
      <c r="U1157"/>
      <c r="V1157"/>
      <c r="W1157">
        <v>18</v>
      </c>
    </row>
    <row r="1158" spans="1:23">
      <c r="A1158"/>
      <c r="B1158" t="s">
        <v>58</v>
      </c>
      <c r="C1158" t="s">
        <v>58</v>
      </c>
      <c r="D1158" t="s">
        <v>33</v>
      </c>
      <c r="E1158" t="s">
        <v>34</v>
      </c>
      <c r="F1158" t="str">
        <f>"0001474"</f>
        <v>0001474</v>
      </c>
      <c r="G1158">
        <v>1</v>
      </c>
      <c r="H1158" t="str">
        <f>"00000000"</f>
        <v>00000000</v>
      </c>
      <c r="I1158" t="s">
        <v>35</v>
      </c>
      <c r="J1158"/>
      <c r="K1158">
        <v>4.79</v>
      </c>
      <c r="L1158">
        <v>0.0</v>
      </c>
      <c r="M1158"/>
      <c r="N1158"/>
      <c r="O1158">
        <v>0.86</v>
      </c>
      <c r="P1158">
        <v>0.2</v>
      </c>
      <c r="Q1158">
        <v>5.85</v>
      </c>
      <c r="R1158"/>
      <c r="S1158"/>
      <c r="T1158"/>
      <c r="U1158"/>
      <c r="V1158"/>
      <c r="W1158">
        <v>18</v>
      </c>
    </row>
    <row r="1159" spans="1:23">
      <c r="A1159"/>
      <c r="B1159" t="s">
        <v>58</v>
      </c>
      <c r="C1159" t="s">
        <v>58</v>
      </c>
      <c r="D1159" t="s">
        <v>33</v>
      </c>
      <c r="E1159" t="s">
        <v>34</v>
      </c>
      <c r="F1159" t="str">
        <f>"0001475"</f>
        <v>0001475</v>
      </c>
      <c r="G1159">
        <v>1</v>
      </c>
      <c r="H1159" t="str">
        <f>"00000000"</f>
        <v>00000000</v>
      </c>
      <c r="I1159" t="s">
        <v>35</v>
      </c>
      <c r="J1159"/>
      <c r="K1159">
        <v>7.97</v>
      </c>
      <c r="L1159">
        <v>0.0</v>
      </c>
      <c r="M1159"/>
      <c r="N1159"/>
      <c r="O1159">
        <v>1.43</v>
      </c>
      <c r="P1159">
        <v>0.0</v>
      </c>
      <c r="Q1159">
        <v>9.4</v>
      </c>
      <c r="R1159"/>
      <c r="S1159"/>
      <c r="T1159"/>
      <c r="U1159"/>
      <c r="V1159"/>
      <c r="W1159">
        <v>18</v>
      </c>
    </row>
    <row r="1160" spans="1:23">
      <c r="A1160"/>
      <c r="B1160" t="s">
        <v>58</v>
      </c>
      <c r="C1160" t="s">
        <v>58</v>
      </c>
      <c r="D1160" t="s">
        <v>33</v>
      </c>
      <c r="E1160" t="s">
        <v>34</v>
      </c>
      <c r="F1160" t="str">
        <f>"0001476"</f>
        <v>0001476</v>
      </c>
      <c r="G1160">
        <v>1</v>
      </c>
      <c r="H1160" t="str">
        <f>"00000000"</f>
        <v>00000000</v>
      </c>
      <c r="I1160" t="s">
        <v>35</v>
      </c>
      <c r="J1160"/>
      <c r="K1160">
        <v>11.95</v>
      </c>
      <c r="L1160">
        <v>0.0</v>
      </c>
      <c r="M1160"/>
      <c r="N1160"/>
      <c r="O1160">
        <v>2.15</v>
      </c>
      <c r="P1160">
        <v>0.2</v>
      </c>
      <c r="Q1160">
        <v>14.3</v>
      </c>
      <c r="R1160"/>
      <c r="S1160"/>
      <c r="T1160"/>
      <c r="U1160"/>
      <c r="V1160"/>
      <c r="W1160">
        <v>18</v>
      </c>
    </row>
    <row r="1161" spans="1:23">
      <c r="A1161"/>
      <c r="B1161" t="s">
        <v>58</v>
      </c>
      <c r="C1161" t="s">
        <v>58</v>
      </c>
      <c r="D1161" t="s">
        <v>33</v>
      </c>
      <c r="E1161" t="s">
        <v>34</v>
      </c>
      <c r="F1161" t="str">
        <f>"0001477"</f>
        <v>0001477</v>
      </c>
      <c r="G1161">
        <v>1</v>
      </c>
      <c r="H1161" t="str">
        <f>"00000000"</f>
        <v>00000000</v>
      </c>
      <c r="I1161" t="s">
        <v>35</v>
      </c>
      <c r="J1161"/>
      <c r="K1161">
        <v>3.51</v>
      </c>
      <c r="L1161">
        <v>0.0</v>
      </c>
      <c r="M1161"/>
      <c r="N1161"/>
      <c r="O1161">
        <v>0.63</v>
      </c>
      <c r="P1161">
        <v>0.0</v>
      </c>
      <c r="Q1161">
        <v>4.14</v>
      </c>
      <c r="R1161"/>
      <c r="S1161"/>
      <c r="T1161"/>
      <c r="U1161"/>
      <c r="V1161"/>
      <c r="W1161">
        <v>18</v>
      </c>
    </row>
    <row r="1162" spans="1:23">
      <c r="A1162"/>
      <c r="B1162" t="s">
        <v>58</v>
      </c>
      <c r="C1162" t="s">
        <v>58</v>
      </c>
      <c r="D1162" t="s">
        <v>33</v>
      </c>
      <c r="E1162" t="s">
        <v>34</v>
      </c>
      <c r="F1162" t="str">
        <f>"0001478"</f>
        <v>0001478</v>
      </c>
      <c r="G1162">
        <v>1</v>
      </c>
      <c r="H1162" t="str">
        <f>"00000000"</f>
        <v>00000000</v>
      </c>
      <c r="I1162" t="s">
        <v>35</v>
      </c>
      <c r="J1162"/>
      <c r="K1162">
        <v>36.44</v>
      </c>
      <c r="L1162">
        <v>0.0</v>
      </c>
      <c r="M1162"/>
      <c r="N1162"/>
      <c r="O1162">
        <v>6.56</v>
      </c>
      <c r="P1162">
        <v>0.2</v>
      </c>
      <c r="Q1162">
        <v>43.2</v>
      </c>
      <c r="R1162"/>
      <c r="S1162"/>
      <c r="T1162"/>
      <c r="U1162"/>
      <c r="V1162"/>
      <c r="W1162">
        <v>18</v>
      </c>
    </row>
    <row r="1163" spans="1:23">
      <c r="A1163"/>
      <c r="B1163" t="s">
        <v>58</v>
      </c>
      <c r="C1163" t="s">
        <v>58</v>
      </c>
      <c r="D1163" t="s">
        <v>33</v>
      </c>
      <c r="E1163" t="s">
        <v>34</v>
      </c>
      <c r="F1163" t="str">
        <f>"0001479"</f>
        <v>0001479</v>
      </c>
      <c r="G1163">
        <v>1</v>
      </c>
      <c r="H1163" t="str">
        <f>"00000000"</f>
        <v>00000000</v>
      </c>
      <c r="I1163" t="s">
        <v>35</v>
      </c>
      <c r="J1163"/>
      <c r="K1163">
        <v>11.69</v>
      </c>
      <c r="L1163">
        <v>0.0</v>
      </c>
      <c r="M1163"/>
      <c r="N1163"/>
      <c r="O1163">
        <v>2.11</v>
      </c>
      <c r="P1163">
        <v>0.2</v>
      </c>
      <c r="Q1163">
        <v>14.0</v>
      </c>
      <c r="R1163"/>
      <c r="S1163"/>
      <c r="T1163"/>
      <c r="U1163"/>
      <c r="V1163"/>
      <c r="W1163">
        <v>18</v>
      </c>
    </row>
    <row r="1164" spans="1:23">
      <c r="A1164"/>
      <c r="B1164" t="s">
        <v>58</v>
      </c>
      <c r="C1164" t="s">
        <v>58</v>
      </c>
      <c r="D1164" t="s">
        <v>33</v>
      </c>
      <c r="E1164" t="s">
        <v>34</v>
      </c>
      <c r="F1164" t="str">
        <f>"0001480"</f>
        <v>0001480</v>
      </c>
      <c r="G1164">
        <v>1</v>
      </c>
      <c r="H1164" t="str">
        <f>"00000000"</f>
        <v>00000000</v>
      </c>
      <c r="I1164" t="s">
        <v>35</v>
      </c>
      <c r="J1164"/>
      <c r="K1164">
        <v>4.07</v>
      </c>
      <c r="L1164">
        <v>0.0</v>
      </c>
      <c r="M1164"/>
      <c r="N1164"/>
      <c r="O1164">
        <v>0.73</v>
      </c>
      <c r="P1164">
        <v>0.0</v>
      </c>
      <c r="Q1164">
        <v>4.8</v>
      </c>
      <c r="R1164"/>
      <c r="S1164"/>
      <c r="T1164"/>
      <c r="U1164"/>
      <c r="V1164"/>
      <c r="W1164">
        <v>18</v>
      </c>
    </row>
    <row r="1165" spans="1:23">
      <c r="A1165"/>
      <c r="B1165" t="s">
        <v>58</v>
      </c>
      <c r="C1165" t="s">
        <v>58</v>
      </c>
      <c r="D1165" t="s">
        <v>33</v>
      </c>
      <c r="E1165" t="s">
        <v>34</v>
      </c>
      <c r="F1165" t="str">
        <f>"0001481"</f>
        <v>0001481</v>
      </c>
      <c r="G1165">
        <v>1</v>
      </c>
      <c r="H1165" t="str">
        <f>"00000000"</f>
        <v>00000000</v>
      </c>
      <c r="I1165" t="s">
        <v>35</v>
      </c>
      <c r="J1165"/>
      <c r="K1165">
        <v>30.49</v>
      </c>
      <c r="L1165">
        <v>0.0</v>
      </c>
      <c r="M1165"/>
      <c r="N1165"/>
      <c r="O1165">
        <v>5.49</v>
      </c>
      <c r="P1165">
        <v>0.0</v>
      </c>
      <c r="Q1165">
        <v>35.98</v>
      </c>
      <c r="R1165"/>
      <c r="S1165"/>
      <c r="T1165"/>
      <c r="U1165"/>
      <c r="V1165"/>
      <c r="W1165">
        <v>18</v>
      </c>
    </row>
    <row r="1166" spans="1:23">
      <c r="A1166"/>
      <c r="B1166" t="s">
        <v>58</v>
      </c>
      <c r="C1166" t="s">
        <v>58</v>
      </c>
      <c r="D1166" t="s">
        <v>33</v>
      </c>
      <c r="E1166" t="s">
        <v>34</v>
      </c>
      <c r="F1166" t="str">
        <f>"0001482"</f>
        <v>0001482</v>
      </c>
      <c r="G1166">
        <v>1</v>
      </c>
      <c r="H1166" t="str">
        <f>"00000000"</f>
        <v>00000000</v>
      </c>
      <c r="I1166" t="s">
        <v>35</v>
      </c>
      <c r="J1166"/>
      <c r="K1166">
        <v>0.85</v>
      </c>
      <c r="L1166">
        <v>0.0</v>
      </c>
      <c r="M1166"/>
      <c r="N1166"/>
      <c r="O1166">
        <v>0.15</v>
      </c>
      <c r="P1166">
        <v>0.0</v>
      </c>
      <c r="Q1166">
        <v>1.0</v>
      </c>
      <c r="R1166"/>
      <c r="S1166"/>
      <c r="T1166"/>
      <c r="U1166"/>
      <c r="V1166"/>
      <c r="W1166">
        <v>18</v>
      </c>
    </row>
    <row r="1167" spans="1:23">
      <c r="A1167"/>
      <c r="B1167" t="s">
        <v>58</v>
      </c>
      <c r="C1167" t="s">
        <v>58</v>
      </c>
      <c r="D1167" t="s">
        <v>33</v>
      </c>
      <c r="E1167" t="s">
        <v>34</v>
      </c>
      <c r="F1167" t="str">
        <f>"0001483"</f>
        <v>0001483</v>
      </c>
      <c r="G1167">
        <v>1</v>
      </c>
      <c r="H1167" t="str">
        <f>"00000000"</f>
        <v>00000000</v>
      </c>
      <c r="I1167" t="s">
        <v>35</v>
      </c>
      <c r="J1167"/>
      <c r="K1167">
        <v>2.71</v>
      </c>
      <c r="L1167">
        <v>0.0</v>
      </c>
      <c r="M1167"/>
      <c r="N1167"/>
      <c r="O1167">
        <v>0.49</v>
      </c>
      <c r="P1167">
        <v>0.0</v>
      </c>
      <c r="Q1167">
        <v>3.2</v>
      </c>
      <c r="R1167"/>
      <c r="S1167"/>
      <c r="T1167"/>
      <c r="U1167"/>
      <c r="V1167"/>
      <c r="W1167">
        <v>18</v>
      </c>
    </row>
    <row r="1168" spans="1:23">
      <c r="A1168"/>
      <c r="B1168" t="s">
        <v>58</v>
      </c>
      <c r="C1168" t="s">
        <v>58</v>
      </c>
      <c r="D1168" t="s">
        <v>33</v>
      </c>
      <c r="E1168" t="s">
        <v>34</v>
      </c>
      <c r="F1168" t="str">
        <f>"0001484"</f>
        <v>0001484</v>
      </c>
      <c r="G1168">
        <v>1</v>
      </c>
      <c r="H1168" t="str">
        <f>"00000000"</f>
        <v>00000000</v>
      </c>
      <c r="I1168" t="s">
        <v>35</v>
      </c>
      <c r="J1168"/>
      <c r="K1168">
        <v>3.81</v>
      </c>
      <c r="L1168">
        <v>0.0</v>
      </c>
      <c r="M1168"/>
      <c r="N1168"/>
      <c r="O1168">
        <v>0.69</v>
      </c>
      <c r="P1168">
        <v>0.0</v>
      </c>
      <c r="Q1168">
        <v>4.5</v>
      </c>
      <c r="R1168"/>
      <c r="S1168"/>
      <c r="T1168"/>
      <c r="U1168"/>
      <c r="V1168"/>
      <c r="W1168">
        <v>18</v>
      </c>
    </row>
    <row r="1169" spans="1:23">
      <c r="A1169"/>
      <c r="B1169" t="s">
        <v>58</v>
      </c>
      <c r="C1169" t="s">
        <v>58</v>
      </c>
      <c r="D1169" t="s">
        <v>33</v>
      </c>
      <c r="E1169" t="s">
        <v>34</v>
      </c>
      <c r="F1169" t="str">
        <f>"0001485"</f>
        <v>0001485</v>
      </c>
      <c r="G1169">
        <v>1</v>
      </c>
      <c r="H1169" t="str">
        <f>"00000000"</f>
        <v>00000000</v>
      </c>
      <c r="I1169" t="s">
        <v>35</v>
      </c>
      <c r="J1169"/>
      <c r="K1169">
        <v>8.98</v>
      </c>
      <c r="L1169">
        <v>0.0</v>
      </c>
      <c r="M1169"/>
      <c r="N1169"/>
      <c r="O1169">
        <v>1.62</v>
      </c>
      <c r="P1169">
        <v>0.0</v>
      </c>
      <c r="Q1169">
        <v>10.6</v>
      </c>
      <c r="R1169"/>
      <c r="S1169"/>
      <c r="T1169"/>
      <c r="U1169"/>
      <c r="V1169"/>
      <c r="W1169">
        <v>18</v>
      </c>
    </row>
    <row r="1170" spans="1:23">
      <c r="A1170"/>
      <c r="B1170" t="s">
        <v>58</v>
      </c>
      <c r="C1170" t="s">
        <v>58</v>
      </c>
      <c r="D1170" t="s">
        <v>33</v>
      </c>
      <c r="E1170" t="s">
        <v>34</v>
      </c>
      <c r="F1170" t="str">
        <f>"0001486"</f>
        <v>0001486</v>
      </c>
      <c r="G1170">
        <v>1</v>
      </c>
      <c r="H1170" t="str">
        <f>"00000000"</f>
        <v>00000000</v>
      </c>
      <c r="I1170" t="s">
        <v>35</v>
      </c>
      <c r="J1170"/>
      <c r="K1170">
        <v>20.54</v>
      </c>
      <c r="L1170">
        <v>0.0</v>
      </c>
      <c r="M1170"/>
      <c r="N1170"/>
      <c r="O1170">
        <v>3.7</v>
      </c>
      <c r="P1170">
        <v>0.2</v>
      </c>
      <c r="Q1170">
        <v>24.44</v>
      </c>
      <c r="R1170"/>
      <c r="S1170"/>
      <c r="T1170"/>
      <c r="U1170"/>
      <c r="V1170"/>
      <c r="W1170">
        <v>18</v>
      </c>
    </row>
    <row r="1171" spans="1:23">
      <c r="A1171"/>
      <c r="B1171" t="s">
        <v>58</v>
      </c>
      <c r="C1171" t="s">
        <v>58</v>
      </c>
      <c r="D1171" t="s">
        <v>33</v>
      </c>
      <c r="E1171" t="s">
        <v>34</v>
      </c>
      <c r="F1171" t="str">
        <f>"0001487"</f>
        <v>0001487</v>
      </c>
      <c r="G1171">
        <v>1</v>
      </c>
      <c r="H1171" t="str">
        <f>"00000000"</f>
        <v>00000000</v>
      </c>
      <c r="I1171" t="s">
        <v>35</v>
      </c>
      <c r="J1171"/>
      <c r="K1171">
        <v>6.93</v>
      </c>
      <c r="L1171">
        <v>0.0</v>
      </c>
      <c r="M1171"/>
      <c r="N1171"/>
      <c r="O1171">
        <v>1.25</v>
      </c>
      <c r="P1171">
        <v>0.0</v>
      </c>
      <c r="Q1171">
        <v>8.18</v>
      </c>
      <c r="R1171"/>
      <c r="S1171"/>
      <c r="T1171"/>
      <c r="U1171"/>
      <c r="V1171"/>
      <c r="W1171">
        <v>18</v>
      </c>
    </row>
    <row r="1172" spans="1:23">
      <c r="A1172"/>
      <c r="B1172" t="s">
        <v>58</v>
      </c>
      <c r="C1172" t="s">
        <v>58</v>
      </c>
      <c r="D1172" t="s">
        <v>33</v>
      </c>
      <c r="E1172" t="s">
        <v>34</v>
      </c>
      <c r="F1172" t="str">
        <f>"0001488"</f>
        <v>0001488</v>
      </c>
      <c r="G1172">
        <v>1</v>
      </c>
      <c r="H1172" t="str">
        <f>"00000000"</f>
        <v>00000000</v>
      </c>
      <c r="I1172" t="s">
        <v>35</v>
      </c>
      <c r="J1172"/>
      <c r="K1172">
        <v>12.63</v>
      </c>
      <c r="L1172">
        <v>0.0</v>
      </c>
      <c r="M1172"/>
      <c r="N1172"/>
      <c r="O1172">
        <v>2.27</v>
      </c>
      <c r="P1172">
        <v>0.0</v>
      </c>
      <c r="Q1172">
        <v>14.9</v>
      </c>
      <c r="R1172"/>
      <c r="S1172"/>
      <c r="T1172"/>
      <c r="U1172"/>
      <c r="V1172"/>
      <c r="W1172">
        <v>18</v>
      </c>
    </row>
    <row r="1173" spans="1:23">
      <c r="A1173"/>
      <c r="B1173" t="s">
        <v>58</v>
      </c>
      <c r="C1173" t="s">
        <v>58</v>
      </c>
      <c r="D1173" t="s">
        <v>33</v>
      </c>
      <c r="E1173" t="s">
        <v>34</v>
      </c>
      <c r="F1173" t="str">
        <f>"0001489"</f>
        <v>0001489</v>
      </c>
      <c r="G1173">
        <v>1</v>
      </c>
      <c r="H1173" t="str">
        <f>"00000000"</f>
        <v>00000000</v>
      </c>
      <c r="I1173" t="s">
        <v>35</v>
      </c>
      <c r="J1173"/>
      <c r="K1173">
        <v>6.76</v>
      </c>
      <c r="L1173">
        <v>0.0</v>
      </c>
      <c r="M1173"/>
      <c r="N1173"/>
      <c r="O1173">
        <v>1.22</v>
      </c>
      <c r="P1173">
        <v>0.0</v>
      </c>
      <c r="Q1173">
        <v>7.98</v>
      </c>
      <c r="R1173"/>
      <c r="S1173"/>
      <c r="T1173"/>
      <c r="U1173"/>
      <c r="V1173"/>
      <c r="W1173">
        <v>18</v>
      </c>
    </row>
    <row r="1174" spans="1:23">
      <c r="A1174"/>
      <c r="B1174" t="s">
        <v>58</v>
      </c>
      <c r="C1174" t="s">
        <v>58</v>
      </c>
      <c r="D1174" t="s">
        <v>33</v>
      </c>
      <c r="E1174" t="s">
        <v>34</v>
      </c>
      <c r="F1174" t="str">
        <f>"0001490"</f>
        <v>0001490</v>
      </c>
      <c r="G1174">
        <v>1</v>
      </c>
      <c r="H1174" t="str">
        <f>"00000000"</f>
        <v>00000000</v>
      </c>
      <c r="I1174" t="s">
        <v>35</v>
      </c>
      <c r="J1174"/>
      <c r="K1174">
        <v>39.99</v>
      </c>
      <c r="L1174">
        <v>0.0</v>
      </c>
      <c r="M1174"/>
      <c r="N1174"/>
      <c r="O1174">
        <v>7.2</v>
      </c>
      <c r="P1174">
        <v>0.2</v>
      </c>
      <c r="Q1174">
        <v>47.38</v>
      </c>
      <c r="R1174"/>
      <c r="S1174"/>
      <c r="T1174"/>
      <c r="U1174"/>
      <c r="V1174"/>
      <c r="W1174">
        <v>18</v>
      </c>
    </row>
    <row r="1175" spans="1:23">
      <c r="A1175"/>
      <c r="B1175" t="s">
        <v>58</v>
      </c>
      <c r="C1175" t="s">
        <v>58</v>
      </c>
      <c r="D1175" t="s">
        <v>33</v>
      </c>
      <c r="E1175" t="s">
        <v>34</v>
      </c>
      <c r="F1175" t="str">
        <f>"0001491"</f>
        <v>0001491</v>
      </c>
      <c r="G1175">
        <v>1</v>
      </c>
      <c r="H1175" t="str">
        <f>"00000000"</f>
        <v>00000000</v>
      </c>
      <c r="I1175" t="s">
        <v>35</v>
      </c>
      <c r="J1175"/>
      <c r="K1175">
        <v>32.56</v>
      </c>
      <c r="L1175">
        <v>0.0</v>
      </c>
      <c r="M1175"/>
      <c r="N1175"/>
      <c r="O1175">
        <v>5.86</v>
      </c>
      <c r="P1175">
        <v>0.0</v>
      </c>
      <c r="Q1175">
        <v>38.42</v>
      </c>
      <c r="R1175"/>
      <c r="S1175"/>
      <c r="T1175"/>
      <c r="U1175"/>
      <c r="V1175"/>
      <c r="W1175">
        <v>18</v>
      </c>
    </row>
    <row r="1176" spans="1:23">
      <c r="A1176"/>
      <c r="B1176" t="s">
        <v>58</v>
      </c>
      <c r="C1176" t="s">
        <v>58</v>
      </c>
      <c r="D1176" t="s">
        <v>33</v>
      </c>
      <c r="E1176" t="s">
        <v>34</v>
      </c>
      <c r="F1176" t="str">
        <f>"0001492"</f>
        <v>0001492</v>
      </c>
      <c r="G1176">
        <v>1</v>
      </c>
      <c r="H1176" t="str">
        <f>"00000000"</f>
        <v>00000000</v>
      </c>
      <c r="I1176" t="s">
        <v>35</v>
      </c>
      <c r="J1176"/>
      <c r="K1176">
        <v>27.32</v>
      </c>
      <c r="L1176">
        <v>0.0</v>
      </c>
      <c r="M1176"/>
      <c r="N1176"/>
      <c r="O1176">
        <v>4.92</v>
      </c>
      <c r="P1176">
        <v>0.2</v>
      </c>
      <c r="Q1176">
        <v>32.44</v>
      </c>
      <c r="R1176"/>
      <c r="S1176"/>
      <c r="T1176"/>
      <c r="U1176"/>
      <c r="V1176"/>
      <c r="W1176">
        <v>18</v>
      </c>
    </row>
    <row r="1177" spans="1:23">
      <c r="A1177"/>
      <c r="B1177" t="s">
        <v>58</v>
      </c>
      <c r="C1177" t="s">
        <v>58</v>
      </c>
      <c r="D1177" t="s">
        <v>33</v>
      </c>
      <c r="E1177" t="s">
        <v>34</v>
      </c>
      <c r="F1177" t="str">
        <f>"0001493"</f>
        <v>0001493</v>
      </c>
      <c r="G1177">
        <v>1</v>
      </c>
      <c r="H1177" t="str">
        <f>"00000000"</f>
        <v>00000000</v>
      </c>
      <c r="I1177" t="s">
        <v>35</v>
      </c>
      <c r="J1177"/>
      <c r="K1177">
        <v>2.53</v>
      </c>
      <c r="L1177">
        <v>0.0</v>
      </c>
      <c r="M1177"/>
      <c r="N1177"/>
      <c r="O1177">
        <v>0.45</v>
      </c>
      <c r="P1177">
        <v>0.2</v>
      </c>
      <c r="Q1177">
        <v>3.18</v>
      </c>
      <c r="R1177"/>
      <c r="S1177"/>
      <c r="T1177"/>
      <c r="U1177"/>
      <c r="V1177"/>
      <c r="W1177">
        <v>18</v>
      </c>
    </row>
    <row r="1178" spans="1:23">
      <c r="A1178"/>
      <c r="B1178" t="s">
        <v>58</v>
      </c>
      <c r="C1178" t="s">
        <v>58</v>
      </c>
      <c r="D1178" t="s">
        <v>33</v>
      </c>
      <c r="E1178" t="s">
        <v>34</v>
      </c>
      <c r="F1178" t="str">
        <f>"0001494"</f>
        <v>0001494</v>
      </c>
      <c r="G1178">
        <v>1</v>
      </c>
      <c r="H1178" t="str">
        <f>"00000000"</f>
        <v>00000000</v>
      </c>
      <c r="I1178" t="s">
        <v>35</v>
      </c>
      <c r="J1178"/>
      <c r="K1178">
        <v>19.32</v>
      </c>
      <c r="L1178">
        <v>0.0</v>
      </c>
      <c r="M1178"/>
      <c r="N1178"/>
      <c r="O1178">
        <v>3.48</v>
      </c>
      <c r="P1178">
        <v>0.2</v>
      </c>
      <c r="Q1178">
        <v>23.0</v>
      </c>
      <c r="R1178"/>
      <c r="S1178"/>
      <c r="T1178"/>
      <c r="U1178"/>
      <c r="V1178"/>
      <c r="W1178">
        <v>18</v>
      </c>
    </row>
    <row r="1179" spans="1:23">
      <c r="A1179"/>
      <c r="B1179" t="s">
        <v>58</v>
      </c>
      <c r="C1179" t="s">
        <v>58</v>
      </c>
      <c r="D1179" t="s">
        <v>33</v>
      </c>
      <c r="E1179" t="s">
        <v>34</v>
      </c>
      <c r="F1179" t="str">
        <f>"0001495"</f>
        <v>0001495</v>
      </c>
      <c r="G1179">
        <v>1</v>
      </c>
      <c r="H1179" t="str">
        <f>"00000000"</f>
        <v>00000000</v>
      </c>
      <c r="I1179" t="s">
        <v>35</v>
      </c>
      <c r="J1179"/>
      <c r="K1179">
        <v>11.69</v>
      </c>
      <c r="L1179">
        <v>0.0</v>
      </c>
      <c r="M1179"/>
      <c r="N1179"/>
      <c r="O1179">
        <v>2.1</v>
      </c>
      <c r="P1179">
        <v>0.2</v>
      </c>
      <c r="Q1179">
        <v>13.99</v>
      </c>
      <c r="R1179"/>
      <c r="S1179"/>
      <c r="T1179"/>
      <c r="U1179"/>
      <c r="V1179"/>
      <c r="W1179">
        <v>18</v>
      </c>
    </row>
    <row r="1180" spans="1:23">
      <c r="A1180"/>
      <c r="B1180" t="s">
        <v>58</v>
      </c>
      <c r="C1180" t="s">
        <v>58</v>
      </c>
      <c r="D1180" t="s">
        <v>33</v>
      </c>
      <c r="E1180" t="s">
        <v>34</v>
      </c>
      <c r="F1180" t="str">
        <f>"0001496"</f>
        <v>0001496</v>
      </c>
      <c r="G1180">
        <v>1</v>
      </c>
      <c r="H1180" t="str">
        <f>"00000000"</f>
        <v>00000000</v>
      </c>
      <c r="I1180" t="s">
        <v>35</v>
      </c>
      <c r="J1180"/>
      <c r="K1180">
        <v>16.86</v>
      </c>
      <c r="L1180">
        <v>0.0</v>
      </c>
      <c r="M1180"/>
      <c r="N1180"/>
      <c r="O1180">
        <v>3.04</v>
      </c>
      <c r="P1180">
        <v>0.0</v>
      </c>
      <c r="Q1180">
        <v>19.9</v>
      </c>
      <c r="R1180"/>
      <c r="S1180"/>
      <c r="T1180"/>
      <c r="U1180"/>
      <c r="V1180"/>
      <c r="W1180">
        <v>18</v>
      </c>
    </row>
    <row r="1181" spans="1:23">
      <c r="A1181"/>
      <c r="B1181" t="s">
        <v>58</v>
      </c>
      <c r="C1181" t="s">
        <v>58</v>
      </c>
      <c r="D1181" t="s">
        <v>33</v>
      </c>
      <c r="E1181" t="s">
        <v>34</v>
      </c>
      <c r="F1181" t="str">
        <f>"0001497"</f>
        <v>0001497</v>
      </c>
      <c r="G1181">
        <v>1</v>
      </c>
      <c r="H1181" t="str">
        <f>"00000000"</f>
        <v>00000000</v>
      </c>
      <c r="I1181" t="s">
        <v>35</v>
      </c>
      <c r="J1181"/>
      <c r="K1181">
        <v>9.83</v>
      </c>
      <c r="L1181">
        <v>0.0</v>
      </c>
      <c r="M1181"/>
      <c r="N1181"/>
      <c r="O1181">
        <v>1.77</v>
      </c>
      <c r="P1181">
        <v>0.2</v>
      </c>
      <c r="Q1181">
        <v>11.8</v>
      </c>
      <c r="R1181"/>
      <c r="S1181"/>
      <c r="T1181"/>
      <c r="U1181"/>
      <c r="V1181"/>
      <c r="W1181">
        <v>18</v>
      </c>
    </row>
    <row r="1182" spans="1:23">
      <c r="A1182"/>
      <c r="B1182" t="s">
        <v>58</v>
      </c>
      <c r="C1182" t="s">
        <v>58</v>
      </c>
      <c r="D1182" t="s">
        <v>33</v>
      </c>
      <c r="E1182" t="s">
        <v>34</v>
      </c>
      <c r="F1182" t="str">
        <f>"0001498"</f>
        <v>0001498</v>
      </c>
      <c r="G1182">
        <v>1</v>
      </c>
      <c r="H1182" t="str">
        <f>"00000000"</f>
        <v>00000000</v>
      </c>
      <c r="I1182" t="s">
        <v>35</v>
      </c>
      <c r="J1182"/>
      <c r="K1182">
        <v>4.15</v>
      </c>
      <c r="L1182">
        <v>0.0</v>
      </c>
      <c r="M1182"/>
      <c r="N1182"/>
      <c r="O1182">
        <v>0.75</v>
      </c>
      <c r="P1182">
        <v>0.0</v>
      </c>
      <c r="Q1182">
        <v>4.9</v>
      </c>
      <c r="R1182"/>
      <c r="S1182"/>
      <c r="T1182"/>
      <c r="U1182"/>
      <c r="V1182"/>
      <c r="W1182">
        <v>18</v>
      </c>
    </row>
    <row r="1183" spans="1:23">
      <c r="A1183"/>
      <c r="B1183" t="s">
        <v>58</v>
      </c>
      <c r="C1183" t="s">
        <v>58</v>
      </c>
      <c r="D1183" t="s">
        <v>33</v>
      </c>
      <c r="E1183" t="s">
        <v>34</v>
      </c>
      <c r="F1183" t="str">
        <f>"0001499"</f>
        <v>0001499</v>
      </c>
      <c r="G1183">
        <v>1</v>
      </c>
      <c r="H1183" t="str">
        <f>"00000000"</f>
        <v>00000000</v>
      </c>
      <c r="I1183" t="s">
        <v>35</v>
      </c>
      <c r="J1183"/>
      <c r="K1183">
        <v>16.44</v>
      </c>
      <c r="L1183">
        <v>0.0</v>
      </c>
      <c r="M1183"/>
      <c r="N1183"/>
      <c r="O1183">
        <v>2.96</v>
      </c>
      <c r="P1183">
        <v>0.0</v>
      </c>
      <c r="Q1183">
        <v>19.4</v>
      </c>
      <c r="R1183"/>
      <c r="S1183"/>
      <c r="T1183"/>
      <c r="U1183"/>
      <c r="V1183"/>
      <c r="W1183">
        <v>18</v>
      </c>
    </row>
    <row r="1184" spans="1:23">
      <c r="A1184"/>
      <c r="B1184" t="s">
        <v>58</v>
      </c>
      <c r="C1184" t="s">
        <v>58</v>
      </c>
      <c r="D1184" t="s">
        <v>33</v>
      </c>
      <c r="E1184" t="s">
        <v>34</v>
      </c>
      <c r="F1184" t="str">
        <f>"0001500"</f>
        <v>0001500</v>
      </c>
      <c r="G1184">
        <v>1</v>
      </c>
      <c r="H1184" t="str">
        <f>"00000000"</f>
        <v>00000000</v>
      </c>
      <c r="I1184" t="s">
        <v>35</v>
      </c>
      <c r="J1184"/>
      <c r="K1184">
        <v>32.14</v>
      </c>
      <c r="L1184">
        <v>0.0</v>
      </c>
      <c r="M1184"/>
      <c r="N1184"/>
      <c r="O1184">
        <v>5.78</v>
      </c>
      <c r="P1184">
        <v>0.0</v>
      </c>
      <c r="Q1184">
        <v>37.92</v>
      </c>
      <c r="R1184"/>
      <c r="S1184"/>
      <c r="T1184"/>
      <c r="U1184"/>
      <c r="V1184"/>
      <c r="W1184">
        <v>18</v>
      </c>
    </row>
    <row r="1185" spans="1:23">
      <c r="A1185"/>
      <c r="B1185" t="s">
        <v>58</v>
      </c>
      <c r="C1185" t="s">
        <v>58</v>
      </c>
      <c r="D1185" t="s">
        <v>33</v>
      </c>
      <c r="E1185" t="s">
        <v>34</v>
      </c>
      <c r="F1185" t="str">
        <f>"0001501"</f>
        <v>0001501</v>
      </c>
      <c r="G1185">
        <v>1</v>
      </c>
      <c r="H1185" t="str">
        <f>"00000000"</f>
        <v>00000000</v>
      </c>
      <c r="I1185" t="s">
        <v>35</v>
      </c>
      <c r="J1185"/>
      <c r="K1185">
        <v>5.51</v>
      </c>
      <c r="L1185">
        <v>0.0</v>
      </c>
      <c r="M1185"/>
      <c r="N1185"/>
      <c r="O1185">
        <v>0.99</v>
      </c>
      <c r="P1185">
        <v>0.0</v>
      </c>
      <c r="Q1185">
        <v>6.5</v>
      </c>
      <c r="R1185"/>
      <c r="S1185"/>
      <c r="T1185"/>
      <c r="U1185"/>
      <c r="V1185"/>
      <c r="W1185">
        <v>18</v>
      </c>
    </row>
    <row r="1186" spans="1:23">
      <c r="A1186"/>
      <c r="B1186" t="s">
        <v>58</v>
      </c>
      <c r="C1186" t="s">
        <v>58</v>
      </c>
      <c r="D1186" t="s">
        <v>33</v>
      </c>
      <c r="E1186" t="s">
        <v>34</v>
      </c>
      <c r="F1186" t="str">
        <f>"0001502"</f>
        <v>0001502</v>
      </c>
      <c r="G1186">
        <v>1</v>
      </c>
      <c r="H1186" t="str">
        <f>"00000000"</f>
        <v>00000000</v>
      </c>
      <c r="I1186" t="s">
        <v>35</v>
      </c>
      <c r="J1186"/>
      <c r="K1186">
        <v>11.02</v>
      </c>
      <c r="L1186">
        <v>0.0</v>
      </c>
      <c r="M1186"/>
      <c r="N1186"/>
      <c r="O1186">
        <v>1.98</v>
      </c>
      <c r="P1186">
        <v>0.0</v>
      </c>
      <c r="Q1186">
        <v>13.0</v>
      </c>
      <c r="R1186"/>
      <c r="S1186"/>
      <c r="T1186"/>
      <c r="U1186"/>
      <c r="V1186"/>
      <c r="W1186">
        <v>18</v>
      </c>
    </row>
    <row r="1187" spans="1:23">
      <c r="A1187"/>
      <c r="B1187" t="s">
        <v>58</v>
      </c>
      <c r="C1187" t="s">
        <v>58</v>
      </c>
      <c r="D1187" t="s">
        <v>33</v>
      </c>
      <c r="E1187" t="s">
        <v>34</v>
      </c>
      <c r="F1187" t="str">
        <f>"0001503"</f>
        <v>0001503</v>
      </c>
      <c r="G1187">
        <v>1</v>
      </c>
      <c r="H1187" t="str">
        <f>"00000000"</f>
        <v>00000000</v>
      </c>
      <c r="I1187" t="s">
        <v>35</v>
      </c>
      <c r="J1187"/>
      <c r="K1187">
        <v>22.39</v>
      </c>
      <c r="L1187">
        <v>0.0</v>
      </c>
      <c r="M1187"/>
      <c r="N1187"/>
      <c r="O1187">
        <v>4.03</v>
      </c>
      <c r="P1187">
        <v>0.2</v>
      </c>
      <c r="Q1187">
        <v>26.62</v>
      </c>
      <c r="R1187"/>
      <c r="S1187"/>
      <c r="T1187"/>
      <c r="U1187"/>
      <c r="V1187"/>
      <c r="W1187">
        <v>18</v>
      </c>
    </row>
    <row r="1188" spans="1:23">
      <c r="A1188"/>
      <c r="B1188" t="s">
        <v>58</v>
      </c>
      <c r="C1188" t="s">
        <v>58</v>
      </c>
      <c r="D1188" t="s">
        <v>33</v>
      </c>
      <c r="E1188" t="s">
        <v>34</v>
      </c>
      <c r="F1188" t="str">
        <f>"0001504"</f>
        <v>0001504</v>
      </c>
      <c r="G1188">
        <v>1</v>
      </c>
      <c r="H1188" t="str">
        <f>"00000000"</f>
        <v>00000000</v>
      </c>
      <c r="I1188" t="s">
        <v>35</v>
      </c>
      <c r="J1188"/>
      <c r="K1188">
        <v>21.1</v>
      </c>
      <c r="L1188">
        <v>0.0</v>
      </c>
      <c r="M1188"/>
      <c r="N1188"/>
      <c r="O1188">
        <v>3.8</v>
      </c>
      <c r="P1188">
        <v>0.0</v>
      </c>
      <c r="Q1188">
        <v>24.9</v>
      </c>
      <c r="R1188"/>
      <c r="S1188"/>
      <c r="T1188"/>
      <c r="U1188"/>
      <c r="V1188"/>
      <c r="W1188">
        <v>18</v>
      </c>
    </row>
    <row r="1189" spans="1:23">
      <c r="A1189"/>
      <c r="B1189" t="s">
        <v>58</v>
      </c>
      <c r="C1189" t="s">
        <v>58</v>
      </c>
      <c r="D1189" t="s">
        <v>33</v>
      </c>
      <c r="E1189" t="s">
        <v>34</v>
      </c>
      <c r="F1189" t="str">
        <f>"0001505"</f>
        <v>0001505</v>
      </c>
      <c r="G1189">
        <v>1</v>
      </c>
      <c r="H1189" t="str">
        <f>"00000000"</f>
        <v>00000000</v>
      </c>
      <c r="I1189" t="s">
        <v>35</v>
      </c>
      <c r="J1189"/>
      <c r="K1189">
        <v>3.02</v>
      </c>
      <c r="L1189">
        <v>0.0</v>
      </c>
      <c r="M1189"/>
      <c r="N1189"/>
      <c r="O1189">
        <v>0.54</v>
      </c>
      <c r="P1189">
        <v>0.0</v>
      </c>
      <c r="Q1189">
        <v>3.57</v>
      </c>
      <c r="R1189"/>
      <c r="S1189"/>
      <c r="T1189"/>
      <c r="U1189"/>
      <c r="V1189"/>
      <c r="W1189">
        <v>18</v>
      </c>
    </row>
    <row r="1190" spans="1:23">
      <c r="A1190"/>
      <c r="B1190" t="s">
        <v>58</v>
      </c>
      <c r="C1190" t="s">
        <v>58</v>
      </c>
      <c r="D1190" t="s">
        <v>33</v>
      </c>
      <c r="E1190" t="s">
        <v>34</v>
      </c>
      <c r="F1190" t="str">
        <f>"0001506"</f>
        <v>0001506</v>
      </c>
      <c r="G1190">
        <v>1</v>
      </c>
      <c r="H1190" t="str">
        <f>"00000000"</f>
        <v>00000000</v>
      </c>
      <c r="I1190" t="s">
        <v>35</v>
      </c>
      <c r="J1190"/>
      <c r="K1190">
        <v>4.0</v>
      </c>
      <c r="L1190">
        <v>0.0</v>
      </c>
      <c r="M1190"/>
      <c r="N1190"/>
      <c r="O1190">
        <v>0.72</v>
      </c>
      <c r="P1190">
        <v>0.0</v>
      </c>
      <c r="Q1190">
        <v>4.73</v>
      </c>
      <c r="R1190"/>
      <c r="S1190"/>
      <c r="T1190"/>
      <c r="U1190"/>
      <c r="V1190"/>
      <c r="W1190">
        <v>18</v>
      </c>
    </row>
    <row r="1191" spans="1:23">
      <c r="A1191"/>
      <c r="B1191" t="s">
        <v>58</v>
      </c>
      <c r="C1191" t="s">
        <v>58</v>
      </c>
      <c r="D1191" t="s">
        <v>33</v>
      </c>
      <c r="E1191" t="s">
        <v>34</v>
      </c>
      <c r="F1191" t="str">
        <f>"0001507"</f>
        <v>0001507</v>
      </c>
      <c r="G1191">
        <v>1</v>
      </c>
      <c r="H1191" t="str">
        <f>"00000000"</f>
        <v>00000000</v>
      </c>
      <c r="I1191" t="s">
        <v>35</v>
      </c>
      <c r="J1191"/>
      <c r="K1191">
        <v>5.07</v>
      </c>
      <c r="L1191">
        <v>0.0</v>
      </c>
      <c r="M1191"/>
      <c r="N1191"/>
      <c r="O1191">
        <v>0.91</v>
      </c>
      <c r="P1191">
        <v>0.0</v>
      </c>
      <c r="Q1191">
        <v>5.98</v>
      </c>
      <c r="R1191"/>
      <c r="S1191"/>
      <c r="T1191"/>
      <c r="U1191"/>
      <c r="V1191"/>
      <c r="W1191">
        <v>18</v>
      </c>
    </row>
    <row r="1192" spans="1:23">
      <c r="A1192"/>
      <c r="B1192" t="s">
        <v>59</v>
      </c>
      <c r="C1192" t="s">
        <v>59</v>
      </c>
      <c r="D1192" t="s">
        <v>33</v>
      </c>
      <c r="E1192" t="s">
        <v>34</v>
      </c>
      <c r="F1192" t="str">
        <f>"0001508"</f>
        <v>0001508</v>
      </c>
      <c r="G1192">
        <v>1</v>
      </c>
      <c r="H1192" t="str">
        <f>"00000000"</f>
        <v>00000000</v>
      </c>
      <c r="I1192" t="s">
        <v>35</v>
      </c>
      <c r="J1192"/>
      <c r="K1192">
        <v>5.49</v>
      </c>
      <c r="L1192">
        <v>0.0</v>
      </c>
      <c r="M1192"/>
      <c r="N1192"/>
      <c r="O1192">
        <v>0.99</v>
      </c>
      <c r="P1192">
        <v>0.0</v>
      </c>
      <c r="Q1192">
        <v>6.48</v>
      </c>
      <c r="R1192"/>
      <c r="S1192"/>
      <c r="T1192"/>
      <c r="U1192"/>
      <c r="V1192"/>
      <c r="W1192">
        <v>18</v>
      </c>
    </row>
    <row r="1193" spans="1:23">
      <c r="A1193"/>
      <c r="B1193" t="s">
        <v>59</v>
      </c>
      <c r="C1193" t="s">
        <v>59</v>
      </c>
      <c r="D1193" t="s">
        <v>33</v>
      </c>
      <c r="E1193" t="s">
        <v>34</v>
      </c>
      <c r="F1193" t="str">
        <f>"0001509"</f>
        <v>0001509</v>
      </c>
      <c r="G1193">
        <v>1</v>
      </c>
      <c r="H1193" t="str">
        <f>"00000000"</f>
        <v>00000000</v>
      </c>
      <c r="I1193" t="s">
        <v>35</v>
      </c>
      <c r="J1193"/>
      <c r="K1193">
        <v>5.58</v>
      </c>
      <c r="L1193">
        <v>0.0</v>
      </c>
      <c r="M1193"/>
      <c r="N1193"/>
      <c r="O1193">
        <v>1.0</v>
      </c>
      <c r="P1193">
        <v>0.0</v>
      </c>
      <c r="Q1193">
        <v>6.59</v>
      </c>
      <c r="R1193"/>
      <c r="S1193"/>
      <c r="T1193"/>
      <c r="U1193"/>
      <c r="V1193"/>
      <c r="W1193">
        <v>18</v>
      </c>
    </row>
    <row r="1194" spans="1:23">
      <c r="A1194"/>
      <c r="B1194" t="s">
        <v>59</v>
      </c>
      <c r="C1194" t="s">
        <v>59</v>
      </c>
      <c r="D1194" t="s">
        <v>33</v>
      </c>
      <c r="E1194" t="s">
        <v>34</v>
      </c>
      <c r="F1194" t="str">
        <f>"0001510"</f>
        <v>0001510</v>
      </c>
      <c r="G1194">
        <v>1</v>
      </c>
      <c r="H1194" t="str">
        <f>"00000000"</f>
        <v>00000000</v>
      </c>
      <c r="I1194" t="s">
        <v>35</v>
      </c>
      <c r="J1194"/>
      <c r="K1194">
        <v>30.44</v>
      </c>
      <c r="L1194">
        <v>0.0</v>
      </c>
      <c r="M1194"/>
      <c r="N1194"/>
      <c r="O1194">
        <v>5.48</v>
      </c>
      <c r="P1194">
        <v>0.2</v>
      </c>
      <c r="Q1194">
        <v>36.12</v>
      </c>
      <c r="R1194"/>
      <c r="S1194"/>
      <c r="T1194"/>
      <c r="U1194"/>
      <c r="V1194"/>
      <c r="W1194">
        <v>18</v>
      </c>
    </row>
    <row r="1195" spans="1:23">
      <c r="A1195"/>
      <c r="B1195" t="s">
        <v>59</v>
      </c>
      <c r="C1195" t="s">
        <v>59</v>
      </c>
      <c r="D1195" t="s">
        <v>33</v>
      </c>
      <c r="E1195" t="s">
        <v>34</v>
      </c>
      <c r="F1195" t="str">
        <f>"0001511"</f>
        <v>0001511</v>
      </c>
      <c r="G1195">
        <v>1</v>
      </c>
      <c r="H1195" t="str">
        <f>"00000000"</f>
        <v>00000000</v>
      </c>
      <c r="I1195" t="s">
        <v>35</v>
      </c>
      <c r="J1195"/>
      <c r="K1195">
        <v>8.47</v>
      </c>
      <c r="L1195">
        <v>0.0</v>
      </c>
      <c r="M1195"/>
      <c r="N1195"/>
      <c r="O1195">
        <v>1.53</v>
      </c>
      <c r="P1195">
        <v>0.0</v>
      </c>
      <c r="Q1195">
        <v>10.0</v>
      </c>
      <c r="R1195"/>
      <c r="S1195"/>
      <c r="T1195"/>
      <c r="U1195"/>
      <c r="V1195"/>
      <c r="W1195">
        <v>18</v>
      </c>
    </row>
    <row r="1196" spans="1:23">
      <c r="A1196"/>
      <c r="B1196" t="s">
        <v>59</v>
      </c>
      <c r="C1196" t="s">
        <v>59</v>
      </c>
      <c r="D1196" t="s">
        <v>33</v>
      </c>
      <c r="E1196" t="s">
        <v>34</v>
      </c>
      <c r="F1196" t="str">
        <f>"0001512"</f>
        <v>0001512</v>
      </c>
      <c r="G1196">
        <v>1</v>
      </c>
      <c r="H1196" t="str">
        <f>"00000000"</f>
        <v>00000000</v>
      </c>
      <c r="I1196" t="s">
        <v>35</v>
      </c>
      <c r="J1196"/>
      <c r="K1196">
        <v>6.25</v>
      </c>
      <c r="L1196">
        <v>0.0</v>
      </c>
      <c r="M1196"/>
      <c r="N1196"/>
      <c r="O1196">
        <v>1.13</v>
      </c>
      <c r="P1196">
        <v>0.0</v>
      </c>
      <c r="Q1196">
        <v>7.38</v>
      </c>
      <c r="R1196"/>
      <c r="S1196"/>
      <c r="T1196"/>
      <c r="U1196"/>
      <c r="V1196"/>
      <c r="W1196">
        <v>18</v>
      </c>
    </row>
    <row r="1197" spans="1:23">
      <c r="A1197"/>
      <c r="B1197" t="s">
        <v>59</v>
      </c>
      <c r="C1197" t="s">
        <v>59</v>
      </c>
      <c r="D1197" t="s">
        <v>33</v>
      </c>
      <c r="E1197" t="s">
        <v>34</v>
      </c>
      <c r="F1197" t="str">
        <f>"0001513"</f>
        <v>0001513</v>
      </c>
      <c r="G1197">
        <v>1</v>
      </c>
      <c r="H1197" t="str">
        <f>"00000000"</f>
        <v>00000000</v>
      </c>
      <c r="I1197" t="s">
        <v>35</v>
      </c>
      <c r="J1197"/>
      <c r="K1197">
        <v>2.97</v>
      </c>
      <c r="L1197">
        <v>0.0</v>
      </c>
      <c r="M1197"/>
      <c r="N1197"/>
      <c r="O1197">
        <v>0.53</v>
      </c>
      <c r="P1197">
        <v>0.0</v>
      </c>
      <c r="Q1197">
        <v>3.5</v>
      </c>
      <c r="R1197"/>
      <c r="S1197"/>
      <c r="T1197"/>
      <c r="U1197"/>
      <c r="V1197"/>
      <c r="W1197">
        <v>18</v>
      </c>
    </row>
    <row r="1198" spans="1:23">
      <c r="A1198"/>
      <c r="B1198" t="s">
        <v>59</v>
      </c>
      <c r="C1198" t="s">
        <v>59</v>
      </c>
      <c r="D1198" t="s">
        <v>33</v>
      </c>
      <c r="E1198" t="s">
        <v>34</v>
      </c>
      <c r="F1198" t="str">
        <f>"0001514"</f>
        <v>0001514</v>
      </c>
      <c r="G1198">
        <v>1</v>
      </c>
      <c r="H1198" t="str">
        <f>"00000000"</f>
        <v>00000000</v>
      </c>
      <c r="I1198" t="s">
        <v>35</v>
      </c>
      <c r="J1198"/>
      <c r="K1198">
        <v>12.98</v>
      </c>
      <c r="L1198">
        <v>0.0</v>
      </c>
      <c r="M1198"/>
      <c r="N1198"/>
      <c r="O1198">
        <v>2.34</v>
      </c>
      <c r="P1198">
        <v>0.2</v>
      </c>
      <c r="Q1198">
        <v>15.51</v>
      </c>
      <c r="R1198"/>
      <c r="S1198"/>
      <c r="T1198"/>
      <c r="U1198"/>
      <c r="V1198"/>
      <c r="W1198">
        <v>18</v>
      </c>
    </row>
    <row r="1199" spans="1:23">
      <c r="A1199"/>
      <c r="B1199" t="s">
        <v>59</v>
      </c>
      <c r="C1199" t="s">
        <v>59</v>
      </c>
      <c r="D1199" t="s">
        <v>33</v>
      </c>
      <c r="E1199" t="s">
        <v>34</v>
      </c>
      <c r="F1199" t="str">
        <f>"0001515"</f>
        <v>0001515</v>
      </c>
      <c r="G1199">
        <v>1</v>
      </c>
      <c r="H1199" t="str">
        <f>"00000000"</f>
        <v>00000000</v>
      </c>
      <c r="I1199" t="s">
        <v>35</v>
      </c>
      <c r="J1199"/>
      <c r="K1199">
        <v>21.09</v>
      </c>
      <c r="L1199">
        <v>0.0</v>
      </c>
      <c r="M1199"/>
      <c r="N1199"/>
      <c r="O1199">
        <v>3.8</v>
      </c>
      <c r="P1199">
        <v>0.0</v>
      </c>
      <c r="Q1199">
        <v>24.89</v>
      </c>
      <c r="R1199"/>
      <c r="S1199"/>
      <c r="T1199"/>
      <c r="U1199"/>
      <c r="V1199"/>
      <c r="W1199">
        <v>18</v>
      </c>
    </row>
    <row r="1200" spans="1:23">
      <c r="A1200"/>
      <c r="B1200" t="s">
        <v>59</v>
      </c>
      <c r="C1200" t="s">
        <v>59</v>
      </c>
      <c r="D1200" t="s">
        <v>33</v>
      </c>
      <c r="E1200" t="s">
        <v>34</v>
      </c>
      <c r="F1200" t="str">
        <f>"0001516"</f>
        <v>0001516</v>
      </c>
      <c r="G1200">
        <v>1</v>
      </c>
      <c r="H1200" t="str">
        <f>"00000000"</f>
        <v>00000000</v>
      </c>
      <c r="I1200" t="s">
        <v>35</v>
      </c>
      <c r="J1200"/>
      <c r="K1200">
        <v>3.02</v>
      </c>
      <c r="L1200">
        <v>0.0</v>
      </c>
      <c r="M1200"/>
      <c r="N1200"/>
      <c r="O1200">
        <v>0.54</v>
      </c>
      <c r="P1200">
        <v>0.2</v>
      </c>
      <c r="Q1200">
        <v>3.77</v>
      </c>
      <c r="R1200"/>
      <c r="S1200"/>
      <c r="T1200"/>
      <c r="U1200"/>
      <c r="V1200"/>
      <c r="W1200">
        <v>18</v>
      </c>
    </row>
    <row r="1201" spans="1:23">
      <c r="A1201"/>
      <c r="B1201" t="s">
        <v>59</v>
      </c>
      <c r="C1201" t="s">
        <v>59</v>
      </c>
      <c r="D1201" t="s">
        <v>33</v>
      </c>
      <c r="E1201" t="s">
        <v>34</v>
      </c>
      <c r="F1201" t="str">
        <f>"0001517"</f>
        <v>0001517</v>
      </c>
      <c r="G1201">
        <v>1</v>
      </c>
      <c r="H1201" t="str">
        <f>"00000000"</f>
        <v>00000000</v>
      </c>
      <c r="I1201" t="s">
        <v>35</v>
      </c>
      <c r="J1201"/>
      <c r="K1201">
        <v>24.58</v>
      </c>
      <c r="L1201">
        <v>0.0</v>
      </c>
      <c r="M1201"/>
      <c r="N1201"/>
      <c r="O1201">
        <v>4.42</v>
      </c>
      <c r="P1201">
        <v>0.0</v>
      </c>
      <c r="Q1201">
        <v>29.0</v>
      </c>
      <c r="R1201"/>
      <c r="S1201"/>
      <c r="T1201"/>
      <c r="U1201"/>
      <c r="V1201"/>
      <c r="W1201">
        <v>18</v>
      </c>
    </row>
    <row r="1202" spans="1:23">
      <c r="A1202"/>
      <c r="B1202" t="s">
        <v>59</v>
      </c>
      <c r="C1202" t="s">
        <v>59</v>
      </c>
      <c r="D1202" t="s">
        <v>33</v>
      </c>
      <c r="E1202" t="s">
        <v>34</v>
      </c>
      <c r="F1202" t="str">
        <f>"0001518"</f>
        <v>0001518</v>
      </c>
      <c r="G1202">
        <v>1</v>
      </c>
      <c r="H1202" t="str">
        <f>"00000000"</f>
        <v>00000000</v>
      </c>
      <c r="I1202" t="s">
        <v>35</v>
      </c>
      <c r="J1202"/>
      <c r="K1202">
        <v>8.05</v>
      </c>
      <c r="L1202">
        <v>0.0</v>
      </c>
      <c r="M1202"/>
      <c r="N1202"/>
      <c r="O1202">
        <v>1.45</v>
      </c>
      <c r="P1202">
        <v>0.0</v>
      </c>
      <c r="Q1202">
        <v>9.5</v>
      </c>
      <c r="R1202"/>
      <c r="S1202"/>
      <c r="T1202"/>
      <c r="U1202"/>
      <c r="V1202"/>
      <c r="W1202">
        <v>18</v>
      </c>
    </row>
    <row r="1203" spans="1:23">
      <c r="A1203"/>
      <c r="B1203" t="s">
        <v>59</v>
      </c>
      <c r="C1203" t="s">
        <v>59</v>
      </c>
      <c r="D1203" t="s">
        <v>33</v>
      </c>
      <c r="E1203" t="s">
        <v>34</v>
      </c>
      <c r="F1203" t="str">
        <f>"0001519"</f>
        <v>0001519</v>
      </c>
      <c r="G1203">
        <v>1</v>
      </c>
      <c r="H1203" t="str">
        <f>"00000000"</f>
        <v>00000000</v>
      </c>
      <c r="I1203" t="s">
        <v>35</v>
      </c>
      <c r="J1203"/>
      <c r="K1203">
        <v>2.8</v>
      </c>
      <c r="L1203">
        <v>0.0</v>
      </c>
      <c r="M1203"/>
      <c r="N1203"/>
      <c r="O1203">
        <v>0.5</v>
      </c>
      <c r="P1203">
        <v>0.0</v>
      </c>
      <c r="Q1203">
        <v>3.3</v>
      </c>
      <c r="R1203"/>
      <c r="S1203"/>
      <c r="T1203"/>
      <c r="U1203"/>
      <c r="V1203"/>
      <c r="W1203">
        <v>18</v>
      </c>
    </row>
    <row r="1204" spans="1:23">
      <c r="A1204"/>
      <c r="B1204" t="s">
        <v>59</v>
      </c>
      <c r="C1204" t="s">
        <v>59</v>
      </c>
      <c r="D1204" t="s">
        <v>33</v>
      </c>
      <c r="E1204" t="s">
        <v>34</v>
      </c>
      <c r="F1204" t="str">
        <f>"0001520"</f>
        <v>0001520</v>
      </c>
      <c r="G1204">
        <v>1</v>
      </c>
      <c r="H1204" t="str">
        <f>"00000000"</f>
        <v>00000000</v>
      </c>
      <c r="I1204" t="s">
        <v>35</v>
      </c>
      <c r="J1204"/>
      <c r="K1204">
        <v>43.49</v>
      </c>
      <c r="L1204">
        <v>0.0</v>
      </c>
      <c r="M1204"/>
      <c r="N1204"/>
      <c r="O1204">
        <v>7.83</v>
      </c>
      <c r="P1204">
        <v>0.4</v>
      </c>
      <c r="Q1204">
        <v>51.71</v>
      </c>
      <c r="R1204"/>
      <c r="S1204"/>
      <c r="T1204"/>
      <c r="U1204"/>
      <c r="V1204"/>
      <c r="W1204">
        <v>18</v>
      </c>
    </row>
    <row r="1205" spans="1:23">
      <c r="A1205"/>
      <c r="B1205" t="s">
        <v>59</v>
      </c>
      <c r="C1205" t="s">
        <v>59</v>
      </c>
      <c r="D1205" t="s">
        <v>33</v>
      </c>
      <c r="E1205" t="s">
        <v>34</v>
      </c>
      <c r="F1205" t="str">
        <f>"0001521"</f>
        <v>0001521</v>
      </c>
      <c r="G1205">
        <v>1</v>
      </c>
      <c r="H1205" t="str">
        <f>"00000000"</f>
        <v>00000000</v>
      </c>
      <c r="I1205" t="s">
        <v>35</v>
      </c>
      <c r="J1205"/>
      <c r="K1205">
        <v>0.08</v>
      </c>
      <c r="L1205">
        <v>0.0</v>
      </c>
      <c r="M1205"/>
      <c r="N1205"/>
      <c r="O1205">
        <v>0.02</v>
      </c>
      <c r="P1205">
        <v>0.2</v>
      </c>
      <c r="Q1205">
        <v>0.3</v>
      </c>
      <c r="R1205"/>
      <c r="S1205"/>
      <c r="T1205"/>
      <c r="U1205"/>
      <c r="V1205"/>
      <c r="W1205">
        <v>18</v>
      </c>
    </row>
    <row r="1206" spans="1:23">
      <c r="A1206"/>
      <c r="B1206" t="s">
        <v>59</v>
      </c>
      <c r="C1206" t="s">
        <v>59</v>
      </c>
      <c r="D1206" t="s">
        <v>33</v>
      </c>
      <c r="E1206" t="s">
        <v>34</v>
      </c>
      <c r="F1206" t="str">
        <f>"0001522"</f>
        <v>0001522</v>
      </c>
      <c r="G1206">
        <v>1</v>
      </c>
      <c r="H1206" t="str">
        <f>"00000000"</f>
        <v>00000000</v>
      </c>
      <c r="I1206" t="s">
        <v>35</v>
      </c>
      <c r="J1206"/>
      <c r="K1206">
        <v>43.57</v>
      </c>
      <c r="L1206">
        <v>0.0</v>
      </c>
      <c r="M1206"/>
      <c r="N1206"/>
      <c r="O1206">
        <v>7.84</v>
      </c>
      <c r="P1206">
        <v>0.0</v>
      </c>
      <c r="Q1206">
        <v>51.41</v>
      </c>
      <c r="R1206"/>
      <c r="S1206"/>
      <c r="T1206"/>
      <c r="U1206"/>
      <c r="V1206"/>
      <c r="W1206">
        <v>18</v>
      </c>
    </row>
    <row r="1207" spans="1:23">
      <c r="A1207"/>
      <c r="B1207" t="s">
        <v>59</v>
      </c>
      <c r="C1207" t="s">
        <v>59</v>
      </c>
      <c r="D1207" t="s">
        <v>33</v>
      </c>
      <c r="E1207" t="s">
        <v>34</v>
      </c>
      <c r="F1207" t="str">
        <f>"0001523"</f>
        <v>0001523</v>
      </c>
      <c r="G1207">
        <v>1</v>
      </c>
      <c r="H1207" t="str">
        <f>"00000000"</f>
        <v>00000000</v>
      </c>
      <c r="I1207" t="s">
        <v>35</v>
      </c>
      <c r="J1207"/>
      <c r="K1207">
        <v>7.6</v>
      </c>
      <c r="L1207">
        <v>0.0</v>
      </c>
      <c r="M1207"/>
      <c r="N1207"/>
      <c r="O1207">
        <v>1.37</v>
      </c>
      <c r="P1207">
        <v>0.0</v>
      </c>
      <c r="Q1207">
        <v>8.97</v>
      </c>
      <c r="R1207"/>
      <c r="S1207"/>
      <c r="T1207"/>
      <c r="U1207"/>
      <c r="V1207"/>
      <c r="W1207">
        <v>18</v>
      </c>
    </row>
    <row r="1208" spans="1:23">
      <c r="A1208"/>
      <c r="B1208" t="s">
        <v>59</v>
      </c>
      <c r="C1208" t="s">
        <v>59</v>
      </c>
      <c r="D1208" t="s">
        <v>33</v>
      </c>
      <c r="E1208" t="s">
        <v>34</v>
      </c>
      <c r="F1208" t="str">
        <f>"0001524"</f>
        <v>0001524</v>
      </c>
      <c r="G1208">
        <v>1</v>
      </c>
      <c r="H1208" t="str">
        <f>"00000000"</f>
        <v>00000000</v>
      </c>
      <c r="I1208" t="s">
        <v>35</v>
      </c>
      <c r="J1208"/>
      <c r="K1208">
        <v>1.29</v>
      </c>
      <c r="L1208">
        <v>0.0</v>
      </c>
      <c r="M1208"/>
      <c r="N1208"/>
      <c r="O1208">
        <v>0.23</v>
      </c>
      <c r="P1208">
        <v>0.0</v>
      </c>
      <c r="Q1208">
        <v>1.52</v>
      </c>
      <c r="R1208"/>
      <c r="S1208"/>
      <c r="T1208"/>
      <c r="U1208"/>
      <c r="V1208"/>
      <c r="W1208">
        <v>18</v>
      </c>
    </row>
    <row r="1209" spans="1:23">
      <c r="A1209"/>
      <c r="B1209" t="s">
        <v>59</v>
      </c>
      <c r="C1209" t="s">
        <v>59</v>
      </c>
      <c r="D1209" t="s">
        <v>33</v>
      </c>
      <c r="E1209" t="s">
        <v>34</v>
      </c>
      <c r="F1209" t="str">
        <f>"0001525"</f>
        <v>0001525</v>
      </c>
      <c r="G1209">
        <v>1</v>
      </c>
      <c r="H1209" t="str">
        <f>"00000000"</f>
        <v>00000000</v>
      </c>
      <c r="I1209" t="s">
        <v>35</v>
      </c>
      <c r="J1209"/>
      <c r="K1209">
        <v>3.81</v>
      </c>
      <c r="L1209">
        <v>0.0</v>
      </c>
      <c r="M1209"/>
      <c r="N1209"/>
      <c r="O1209">
        <v>0.69</v>
      </c>
      <c r="P1209">
        <v>0.0</v>
      </c>
      <c r="Q1209">
        <v>4.5</v>
      </c>
      <c r="R1209"/>
      <c r="S1209"/>
      <c r="T1209"/>
      <c r="U1209"/>
      <c r="V1209"/>
      <c r="W1209">
        <v>18</v>
      </c>
    </row>
    <row r="1210" spans="1:23">
      <c r="A1210"/>
      <c r="B1210" t="s">
        <v>59</v>
      </c>
      <c r="C1210" t="s">
        <v>59</v>
      </c>
      <c r="D1210" t="s">
        <v>33</v>
      </c>
      <c r="E1210" t="s">
        <v>34</v>
      </c>
      <c r="F1210" t="str">
        <f>"0001526"</f>
        <v>0001526</v>
      </c>
      <c r="G1210">
        <v>1</v>
      </c>
      <c r="H1210" t="str">
        <f>"00000000"</f>
        <v>00000000</v>
      </c>
      <c r="I1210" t="s">
        <v>35</v>
      </c>
      <c r="J1210"/>
      <c r="K1210">
        <v>3.09</v>
      </c>
      <c r="L1210">
        <v>0.0</v>
      </c>
      <c r="M1210"/>
      <c r="N1210"/>
      <c r="O1210">
        <v>0.56</v>
      </c>
      <c r="P1210">
        <v>0.0</v>
      </c>
      <c r="Q1210">
        <v>3.65</v>
      </c>
      <c r="R1210"/>
      <c r="S1210"/>
      <c r="T1210"/>
      <c r="U1210"/>
      <c r="V1210"/>
      <c r="W1210">
        <v>18</v>
      </c>
    </row>
    <row r="1211" spans="1:23">
      <c r="A1211"/>
      <c r="B1211" t="s">
        <v>59</v>
      </c>
      <c r="C1211" t="s">
        <v>59</v>
      </c>
      <c r="D1211" t="s">
        <v>33</v>
      </c>
      <c r="E1211" t="s">
        <v>34</v>
      </c>
      <c r="F1211" t="str">
        <f>"0001527"</f>
        <v>0001527</v>
      </c>
      <c r="G1211">
        <v>1</v>
      </c>
      <c r="H1211" t="str">
        <f>"00000000"</f>
        <v>00000000</v>
      </c>
      <c r="I1211" t="s">
        <v>35</v>
      </c>
      <c r="J1211"/>
      <c r="K1211">
        <v>66.96</v>
      </c>
      <c r="L1211">
        <v>0.0</v>
      </c>
      <c r="M1211"/>
      <c r="N1211"/>
      <c r="O1211">
        <v>12.05</v>
      </c>
      <c r="P1211">
        <v>0.0</v>
      </c>
      <c r="Q1211">
        <v>79.01</v>
      </c>
      <c r="R1211"/>
      <c r="S1211"/>
      <c r="T1211"/>
      <c r="U1211"/>
      <c r="V1211"/>
      <c r="W1211">
        <v>18</v>
      </c>
    </row>
    <row r="1212" spans="1:23">
      <c r="A1212"/>
      <c r="B1212" t="s">
        <v>59</v>
      </c>
      <c r="C1212" t="s">
        <v>59</v>
      </c>
      <c r="D1212" t="s">
        <v>33</v>
      </c>
      <c r="E1212" t="s">
        <v>34</v>
      </c>
      <c r="F1212" t="str">
        <f>"0001528"</f>
        <v>0001528</v>
      </c>
      <c r="G1212">
        <v>1</v>
      </c>
      <c r="H1212" t="str">
        <f>"00000000"</f>
        <v>00000000</v>
      </c>
      <c r="I1212" t="s">
        <v>35</v>
      </c>
      <c r="J1212"/>
      <c r="K1212">
        <v>6.27</v>
      </c>
      <c r="L1212">
        <v>0.0</v>
      </c>
      <c r="M1212"/>
      <c r="N1212"/>
      <c r="O1212">
        <v>1.13</v>
      </c>
      <c r="P1212">
        <v>0.0</v>
      </c>
      <c r="Q1212">
        <v>7.4</v>
      </c>
      <c r="R1212"/>
      <c r="S1212"/>
      <c r="T1212"/>
      <c r="U1212"/>
      <c r="V1212"/>
      <c r="W1212">
        <v>18</v>
      </c>
    </row>
    <row r="1213" spans="1:23">
      <c r="A1213"/>
      <c r="B1213" t="s">
        <v>59</v>
      </c>
      <c r="C1213" t="s">
        <v>59</v>
      </c>
      <c r="D1213" t="s">
        <v>33</v>
      </c>
      <c r="E1213" t="s">
        <v>34</v>
      </c>
      <c r="F1213" t="str">
        <f>"0001529"</f>
        <v>0001529</v>
      </c>
      <c r="G1213">
        <v>1</v>
      </c>
      <c r="H1213" t="str">
        <f>"00000000"</f>
        <v>00000000</v>
      </c>
      <c r="I1213" t="s">
        <v>35</v>
      </c>
      <c r="J1213"/>
      <c r="K1213">
        <v>11.57</v>
      </c>
      <c r="L1213">
        <v>0.0</v>
      </c>
      <c r="M1213"/>
      <c r="N1213"/>
      <c r="O1213">
        <v>2.08</v>
      </c>
      <c r="P1213">
        <v>0.0</v>
      </c>
      <c r="Q1213">
        <v>13.65</v>
      </c>
      <c r="R1213"/>
      <c r="S1213"/>
      <c r="T1213"/>
      <c r="U1213"/>
      <c r="V1213"/>
      <c r="W1213">
        <v>18</v>
      </c>
    </row>
    <row r="1214" spans="1:23">
      <c r="A1214"/>
      <c r="B1214" t="s">
        <v>59</v>
      </c>
      <c r="C1214" t="s">
        <v>59</v>
      </c>
      <c r="D1214" t="s">
        <v>33</v>
      </c>
      <c r="E1214" t="s">
        <v>34</v>
      </c>
      <c r="F1214" t="str">
        <f>"0001530"</f>
        <v>0001530</v>
      </c>
      <c r="G1214">
        <v>1</v>
      </c>
      <c r="H1214" t="str">
        <f>"00000000"</f>
        <v>00000000</v>
      </c>
      <c r="I1214" t="s">
        <v>35</v>
      </c>
      <c r="J1214"/>
      <c r="K1214">
        <v>8.52</v>
      </c>
      <c r="L1214">
        <v>0.0</v>
      </c>
      <c r="M1214"/>
      <c r="N1214"/>
      <c r="O1214">
        <v>1.53</v>
      </c>
      <c r="P1214">
        <v>0.2</v>
      </c>
      <c r="Q1214">
        <v>10.25</v>
      </c>
      <c r="R1214"/>
      <c r="S1214"/>
      <c r="T1214"/>
      <c r="U1214"/>
      <c r="V1214"/>
      <c r="W1214">
        <v>18</v>
      </c>
    </row>
    <row r="1215" spans="1:23">
      <c r="A1215"/>
      <c r="B1215" t="s">
        <v>59</v>
      </c>
      <c r="C1215" t="s">
        <v>59</v>
      </c>
      <c r="D1215" t="s">
        <v>33</v>
      </c>
      <c r="E1215" t="s">
        <v>34</v>
      </c>
      <c r="F1215" t="str">
        <f>"0001531"</f>
        <v>0001531</v>
      </c>
      <c r="G1215">
        <v>1</v>
      </c>
      <c r="H1215" t="str">
        <f>"00000000"</f>
        <v>00000000</v>
      </c>
      <c r="I1215" t="s">
        <v>35</v>
      </c>
      <c r="J1215"/>
      <c r="K1215">
        <v>0.39</v>
      </c>
      <c r="L1215">
        <v>0.0</v>
      </c>
      <c r="M1215"/>
      <c r="N1215"/>
      <c r="O1215">
        <v>0.07</v>
      </c>
      <c r="P1215">
        <v>0.0</v>
      </c>
      <c r="Q1215">
        <v>0.46</v>
      </c>
      <c r="R1215"/>
      <c r="S1215"/>
      <c r="T1215"/>
      <c r="U1215"/>
      <c r="V1215"/>
      <c r="W1215">
        <v>18</v>
      </c>
    </row>
    <row r="1216" spans="1:23">
      <c r="A1216"/>
      <c r="B1216" t="s">
        <v>59</v>
      </c>
      <c r="C1216" t="s">
        <v>59</v>
      </c>
      <c r="D1216" t="s">
        <v>33</v>
      </c>
      <c r="E1216" t="s">
        <v>34</v>
      </c>
      <c r="F1216" t="str">
        <f>"0001532"</f>
        <v>0001532</v>
      </c>
      <c r="G1216">
        <v>1</v>
      </c>
      <c r="H1216" t="str">
        <f>"00000000"</f>
        <v>00000000</v>
      </c>
      <c r="I1216" t="s">
        <v>35</v>
      </c>
      <c r="J1216"/>
      <c r="K1216">
        <v>8.18</v>
      </c>
      <c r="L1216">
        <v>0.0</v>
      </c>
      <c r="M1216"/>
      <c r="N1216"/>
      <c r="O1216">
        <v>1.47</v>
      </c>
      <c r="P1216">
        <v>0.0</v>
      </c>
      <c r="Q1216">
        <v>9.65</v>
      </c>
      <c r="R1216"/>
      <c r="S1216"/>
      <c r="T1216"/>
      <c r="U1216"/>
      <c r="V1216"/>
      <c r="W1216">
        <v>18</v>
      </c>
    </row>
    <row r="1217" spans="1:23">
      <c r="A1217"/>
      <c r="B1217" t="s">
        <v>59</v>
      </c>
      <c r="C1217" t="s">
        <v>59</v>
      </c>
      <c r="D1217" t="s">
        <v>33</v>
      </c>
      <c r="E1217" t="s">
        <v>34</v>
      </c>
      <c r="F1217" t="str">
        <f>"0001533"</f>
        <v>0001533</v>
      </c>
      <c r="G1217">
        <v>1</v>
      </c>
      <c r="H1217" t="str">
        <f>"00000000"</f>
        <v>00000000</v>
      </c>
      <c r="I1217" t="s">
        <v>35</v>
      </c>
      <c r="J1217"/>
      <c r="K1217">
        <v>36.01</v>
      </c>
      <c r="L1217">
        <v>0.0</v>
      </c>
      <c r="M1217"/>
      <c r="N1217"/>
      <c r="O1217">
        <v>6.48</v>
      </c>
      <c r="P1217">
        <v>0.0</v>
      </c>
      <c r="Q1217">
        <v>42.49</v>
      </c>
      <c r="R1217"/>
      <c r="S1217"/>
      <c r="T1217"/>
      <c r="U1217"/>
      <c r="V1217"/>
      <c r="W1217">
        <v>18</v>
      </c>
    </row>
    <row r="1218" spans="1:23">
      <c r="A1218"/>
      <c r="B1218" t="s">
        <v>59</v>
      </c>
      <c r="C1218" t="s">
        <v>59</v>
      </c>
      <c r="D1218" t="s">
        <v>33</v>
      </c>
      <c r="E1218" t="s">
        <v>34</v>
      </c>
      <c r="F1218" t="str">
        <f>"0001534"</f>
        <v>0001534</v>
      </c>
      <c r="G1218">
        <v>1</v>
      </c>
      <c r="H1218" t="str">
        <f>"00000000"</f>
        <v>00000000</v>
      </c>
      <c r="I1218" t="s">
        <v>35</v>
      </c>
      <c r="J1218"/>
      <c r="K1218">
        <v>19.04</v>
      </c>
      <c r="L1218">
        <v>0.0</v>
      </c>
      <c r="M1218"/>
      <c r="N1218"/>
      <c r="O1218">
        <v>3.43</v>
      </c>
      <c r="P1218">
        <v>0.2</v>
      </c>
      <c r="Q1218">
        <v>22.67</v>
      </c>
      <c r="R1218"/>
      <c r="S1218"/>
      <c r="T1218"/>
      <c r="U1218"/>
      <c r="V1218"/>
      <c r="W1218">
        <v>18</v>
      </c>
    </row>
    <row r="1219" spans="1:23">
      <c r="A1219"/>
      <c r="B1219" t="s">
        <v>59</v>
      </c>
      <c r="C1219" t="s">
        <v>59</v>
      </c>
      <c r="D1219" t="s">
        <v>33</v>
      </c>
      <c r="E1219" t="s">
        <v>34</v>
      </c>
      <c r="F1219" t="str">
        <f>"0001535"</f>
        <v>0001535</v>
      </c>
      <c r="G1219">
        <v>1</v>
      </c>
      <c r="H1219" t="str">
        <f>"00000000"</f>
        <v>00000000</v>
      </c>
      <c r="I1219" t="s">
        <v>35</v>
      </c>
      <c r="J1219"/>
      <c r="K1219">
        <v>48.81</v>
      </c>
      <c r="L1219">
        <v>0.0</v>
      </c>
      <c r="M1219"/>
      <c r="N1219"/>
      <c r="O1219">
        <v>8.79</v>
      </c>
      <c r="P1219">
        <v>0.4</v>
      </c>
      <c r="Q1219">
        <v>58.0</v>
      </c>
      <c r="R1219"/>
      <c r="S1219"/>
      <c r="T1219"/>
      <c r="U1219"/>
      <c r="V1219"/>
      <c r="W1219">
        <v>18</v>
      </c>
    </row>
    <row r="1220" spans="1:23">
      <c r="A1220"/>
      <c r="B1220" t="s">
        <v>59</v>
      </c>
      <c r="C1220" t="s">
        <v>59</v>
      </c>
      <c r="D1220" t="s">
        <v>33</v>
      </c>
      <c r="E1220" t="s">
        <v>34</v>
      </c>
      <c r="F1220" t="str">
        <f>"0001536"</f>
        <v>0001536</v>
      </c>
      <c r="G1220">
        <v>1</v>
      </c>
      <c r="H1220" t="str">
        <f>"00000000"</f>
        <v>00000000</v>
      </c>
      <c r="I1220" t="s">
        <v>35</v>
      </c>
      <c r="J1220"/>
      <c r="K1220">
        <v>3.69</v>
      </c>
      <c r="L1220">
        <v>0.0</v>
      </c>
      <c r="M1220"/>
      <c r="N1220"/>
      <c r="O1220">
        <v>0.67</v>
      </c>
      <c r="P1220">
        <v>0.2</v>
      </c>
      <c r="Q1220">
        <v>4.56</v>
      </c>
      <c r="R1220"/>
      <c r="S1220"/>
      <c r="T1220"/>
      <c r="U1220"/>
      <c r="V1220"/>
      <c r="W1220">
        <v>18</v>
      </c>
    </row>
    <row r="1221" spans="1:23">
      <c r="A1221"/>
      <c r="B1221" t="s">
        <v>59</v>
      </c>
      <c r="C1221" t="s">
        <v>59</v>
      </c>
      <c r="D1221" t="s">
        <v>33</v>
      </c>
      <c r="E1221" t="s">
        <v>34</v>
      </c>
      <c r="F1221" t="str">
        <f>"0001537"</f>
        <v>0001537</v>
      </c>
      <c r="G1221">
        <v>1</v>
      </c>
      <c r="H1221" t="str">
        <f>"00000000"</f>
        <v>00000000</v>
      </c>
      <c r="I1221" t="s">
        <v>35</v>
      </c>
      <c r="J1221"/>
      <c r="K1221">
        <v>1.69</v>
      </c>
      <c r="L1221">
        <v>0.0</v>
      </c>
      <c r="M1221"/>
      <c r="N1221"/>
      <c r="O1221">
        <v>0.31</v>
      </c>
      <c r="P1221">
        <v>0.0</v>
      </c>
      <c r="Q1221">
        <v>2.0</v>
      </c>
      <c r="R1221"/>
      <c r="S1221"/>
      <c r="T1221"/>
      <c r="U1221"/>
      <c r="V1221"/>
      <c r="W1221">
        <v>18</v>
      </c>
    </row>
    <row r="1222" spans="1:23">
      <c r="A1222"/>
      <c r="B1222" t="s">
        <v>59</v>
      </c>
      <c r="C1222" t="s">
        <v>59</v>
      </c>
      <c r="D1222" t="s">
        <v>33</v>
      </c>
      <c r="E1222" t="s">
        <v>34</v>
      </c>
      <c r="F1222" t="str">
        <f>"0001538"</f>
        <v>0001538</v>
      </c>
      <c r="G1222">
        <v>1</v>
      </c>
      <c r="H1222" t="str">
        <f>"00000000"</f>
        <v>00000000</v>
      </c>
      <c r="I1222" t="s">
        <v>35</v>
      </c>
      <c r="J1222"/>
      <c r="K1222">
        <v>8.82</v>
      </c>
      <c r="L1222">
        <v>0.0</v>
      </c>
      <c r="M1222"/>
      <c r="N1222"/>
      <c r="O1222">
        <v>1.59</v>
      </c>
      <c r="P1222">
        <v>0.2</v>
      </c>
      <c r="Q1222">
        <v>10.61</v>
      </c>
      <c r="R1222"/>
      <c r="S1222"/>
      <c r="T1222"/>
      <c r="U1222"/>
      <c r="V1222"/>
      <c r="W1222">
        <v>18</v>
      </c>
    </row>
    <row r="1223" spans="1:23">
      <c r="A1223"/>
      <c r="B1223" t="s">
        <v>59</v>
      </c>
      <c r="C1223" t="s">
        <v>59</v>
      </c>
      <c r="D1223" t="s">
        <v>33</v>
      </c>
      <c r="E1223" t="s">
        <v>34</v>
      </c>
      <c r="F1223" t="str">
        <f>"0001539"</f>
        <v>0001539</v>
      </c>
      <c r="G1223">
        <v>1</v>
      </c>
      <c r="H1223" t="str">
        <f>"00000000"</f>
        <v>00000000</v>
      </c>
      <c r="I1223" t="s">
        <v>35</v>
      </c>
      <c r="J1223"/>
      <c r="K1223">
        <v>5.08</v>
      </c>
      <c r="L1223">
        <v>0.0</v>
      </c>
      <c r="M1223"/>
      <c r="N1223"/>
      <c r="O1223">
        <v>0.92</v>
      </c>
      <c r="P1223">
        <v>0.0</v>
      </c>
      <c r="Q1223">
        <v>6.0</v>
      </c>
      <c r="R1223"/>
      <c r="S1223"/>
      <c r="T1223"/>
      <c r="U1223"/>
      <c r="V1223"/>
      <c r="W1223">
        <v>18</v>
      </c>
    </row>
    <row r="1224" spans="1:23">
      <c r="A1224"/>
      <c r="B1224" t="s">
        <v>59</v>
      </c>
      <c r="C1224" t="s">
        <v>59</v>
      </c>
      <c r="D1224" t="s">
        <v>33</v>
      </c>
      <c r="E1224" t="s">
        <v>34</v>
      </c>
      <c r="F1224" t="str">
        <f>"0001540"</f>
        <v>0001540</v>
      </c>
      <c r="G1224">
        <v>1</v>
      </c>
      <c r="H1224" t="str">
        <f>"00000000"</f>
        <v>00000000</v>
      </c>
      <c r="I1224" t="s">
        <v>35</v>
      </c>
      <c r="J1224"/>
      <c r="K1224">
        <v>35.93</v>
      </c>
      <c r="L1224">
        <v>0.0</v>
      </c>
      <c r="M1224"/>
      <c r="N1224"/>
      <c r="O1224">
        <v>6.47</v>
      </c>
      <c r="P1224">
        <v>0.2</v>
      </c>
      <c r="Q1224">
        <v>42.6</v>
      </c>
      <c r="R1224"/>
      <c r="S1224"/>
      <c r="T1224"/>
      <c r="U1224"/>
      <c r="V1224"/>
      <c r="W1224">
        <v>18</v>
      </c>
    </row>
    <row r="1225" spans="1:23">
      <c r="A1225"/>
      <c r="B1225" t="s">
        <v>59</v>
      </c>
      <c r="C1225" t="s">
        <v>59</v>
      </c>
      <c r="D1225" t="s">
        <v>33</v>
      </c>
      <c r="E1225" t="s">
        <v>34</v>
      </c>
      <c r="F1225" t="str">
        <f>"0001541"</f>
        <v>0001541</v>
      </c>
      <c r="G1225">
        <v>1</v>
      </c>
      <c r="H1225" t="str">
        <f>"00000000"</f>
        <v>00000000</v>
      </c>
      <c r="I1225" t="s">
        <v>35</v>
      </c>
      <c r="J1225"/>
      <c r="K1225">
        <v>5.07</v>
      </c>
      <c r="L1225">
        <v>0.0</v>
      </c>
      <c r="M1225"/>
      <c r="N1225"/>
      <c r="O1225">
        <v>0.91</v>
      </c>
      <c r="P1225">
        <v>0.0</v>
      </c>
      <c r="Q1225">
        <v>5.98</v>
      </c>
      <c r="R1225"/>
      <c r="S1225"/>
      <c r="T1225"/>
      <c r="U1225"/>
      <c r="V1225"/>
      <c r="W1225">
        <v>18</v>
      </c>
    </row>
    <row r="1226" spans="1:23">
      <c r="A1226"/>
      <c r="B1226" t="s">
        <v>59</v>
      </c>
      <c r="C1226" t="s">
        <v>59</v>
      </c>
      <c r="D1226" t="s">
        <v>33</v>
      </c>
      <c r="E1226" t="s">
        <v>34</v>
      </c>
      <c r="F1226" t="str">
        <f>"0001542"</f>
        <v>0001542</v>
      </c>
      <c r="G1226">
        <v>1</v>
      </c>
      <c r="H1226" t="str">
        <f>"00000000"</f>
        <v>00000000</v>
      </c>
      <c r="I1226" t="s">
        <v>35</v>
      </c>
      <c r="J1226"/>
      <c r="K1226">
        <v>0.04</v>
      </c>
      <c r="L1226">
        <v>0.0</v>
      </c>
      <c r="M1226"/>
      <c r="N1226"/>
      <c r="O1226">
        <v>0.01</v>
      </c>
      <c r="P1226">
        <v>0.2</v>
      </c>
      <c r="Q1226">
        <v>0.25</v>
      </c>
      <c r="R1226"/>
      <c r="S1226"/>
      <c r="T1226"/>
      <c r="U1226"/>
      <c r="V1226"/>
      <c r="W1226">
        <v>18</v>
      </c>
    </row>
    <row r="1227" spans="1:23">
      <c r="A1227"/>
      <c r="B1227" t="s">
        <v>59</v>
      </c>
      <c r="C1227" t="s">
        <v>59</v>
      </c>
      <c r="D1227" t="s">
        <v>33</v>
      </c>
      <c r="E1227" t="s">
        <v>34</v>
      </c>
      <c r="F1227" t="str">
        <f>"0001543"</f>
        <v>0001543</v>
      </c>
      <c r="G1227">
        <v>1</v>
      </c>
      <c r="H1227" t="str">
        <f>"00000000"</f>
        <v>00000000</v>
      </c>
      <c r="I1227" t="s">
        <v>35</v>
      </c>
      <c r="J1227"/>
      <c r="K1227">
        <v>1.64</v>
      </c>
      <c r="L1227">
        <v>0.0</v>
      </c>
      <c r="M1227"/>
      <c r="N1227"/>
      <c r="O1227">
        <v>0.29</v>
      </c>
      <c r="P1227">
        <v>0.0</v>
      </c>
      <c r="Q1227">
        <v>1.93</v>
      </c>
      <c r="R1227"/>
      <c r="S1227"/>
      <c r="T1227"/>
      <c r="U1227"/>
      <c r="V1227"/>
      <c r="W1227">
        <v>18</v>
      </c>
    </row>
    <row r="1228" spans="1:23">
      <c r="A1228"/>
      <c r="B1228" t="s">
        <v>59</v>
      </c>
      <c r="C1228" t="s">
        <v>59</v>
      </c>
      <c r="D1228" t="s">
        <v>33</v>
      </c>
      <c r="E1228" t="s">
        <v>34</v>
      </c>
      <c r="F1228" t="str">
        <f>"0001544"</f>
        <v>0001544</v>
      </c>
      <c r="G1228">
        <v>1</v>
      </c>
      <c r="H1228" t="str">
        <f>"00000000"</f>
        <v>00000000</v>
      </c>
      <c r="I1228" t="s">
        <v>35</v>
      </c>
      <c r="J1228"/>
      <c r="K1228">
        <v>1.35</v>
      </c>
      <c r="L1228">
        <v>0.0</v>
      </c>
      <c r="M1228"/>
      <c r="N1228"/>
      <c r="O1228">
        <v>0.24</v>
      </c>
      <c r="P1228">
        <v>0.0</v>
      </c>
      <c r="Q1228">
        <v>1.6</v>
      </c>
      <c r="R1228"/>
      <c r="S1228"/>
      <c r="T1228"/>
      <c r="U1228"/>
      <c r="V1228"/>
      <c r="W1228">
        <v>18</v>
      </c>
    </row>
    <row r="1229" spans="1:23">
      <c r="A1229"/>
      <c r="B1229" t="s">
        <v>59</v>
      </c>
      <c r="C1229" t="s">
        <v>59</v>
      </c>
      <c r="D1229" t="s">
        <v>33</v>
      </c>
      <c r="E1229" t="s">
        <v>34</v>
      </c>
      <c r="F1229" t="str">
        <f>"0001545"</f>
        <v>0001545</v>
      </c>
      <c r="G1229">
        <v>1</v>
      </c>
      <c r="H1229" t="str">
        <f>"00000000"</f>
        <v>00000000</v>
      </c>
      <c r="I1229" t="s">
        <v>35</v>
      </c>
      <c r="J1229"/>
      <c r="K1229">
        <v>15.05</v>
      </c>
      <c r="L1229">
        <v>0.0</v>
      </c>
      <c r="M1229"/>
      <c r="N1229"/>
      <c r="O1229">
        <v>2.71</v>
      </c>
      <c r="P1229">
        <v>0.0</v>
      </c>
      <c r="Q1229">
        <v>17.75</v>
      </c>
      <c r="R1229"/>
      <c r="S1229"/>
      <c r="T1229"/>
      <c r="U1229"/>
      <c r="V1229"/>
      <c r="W1229">
        <v>18</v>
      </c>
    </row>
    <row r="1230" spans="1:23">
      <c r="A1230"/>
      <c r="B1230" t="s">
        <v>59</v>
      </c>
      <c r="C1230" t="s">
        <v>59</v>
      </c>
      <c r="D1230" t="s">
        <v>33</v>
      </c>
      <c r="E1230" t="s">
        <v>34</v>
      </c>
      <c r="F1230" t="str">
        <f>"0001546"</f>
        <v>0001546</v>
      </c>
      <c r="G1230">
        <v>1</v>
      </c>
      <c r="H1230" t="str">
        <f>"00000000"</f>
        <v>00000000</v>
      </c>
      <c r="I1230" t="s">
        <v>35</v>
      </c>
      <c r="J1230"/>
      <c r="K1230">
        <v>33.9</v>
      </c>
      <c r="L1230">
        <v>0.0</v>
      </c>
      <c r="M1230"/>
      <c r="N1230"/>
      <c r="O1230">
        <v>6.1</v>
      </c>
      <c r="P1230">
        <v>0.2</v>
      </c>
      <c r="Q1230">
        <v>40.2</v>
      </c>
      <c r="R1230"/>
      <c r="S1230"/>
      <c r="T1230"/>
      <c r="U1230"/>
      <c r="V1230"/>
      <c r="W1230">
        <v>18</v>
      </c>
    </row>
    <row r="1231" spans="1:23">
      <c r="A1231"/>
      <c r="B1231" t="s">
        <v>59</v>
      </c>
      <c r="C1231" t="s">
        <v>59</v>
      </c>
      <c r="D1231" t="s">
        <v>33</v>
      </c>
      <c r="E1231" t="s">
        <v>34</v>
      </c>
      <c r="F1231" t="str">
        <f>"0001547"</f>
        <v>0001547</v>
      </c>
      <c r="G1231">
        <v>1</v>
      </c>
      <c r="H1231" t="str">
        <f>"00000000"</f>
        <v>00000000</v>
      </c>
      <c r="I1231" t="s">
        <v>35</v>
      </c>
      <c r="J1231"/>
      <c r="K1231">
        <v>1.9</v>
      </c>
      <c r="L1231">
        <v>0.0</v>
      </c>
      <c r="M1231"/>
      <c r="N1231"/>
      <c r="O1231">
        <v>0.34</v>
      </c>
      <c r="P1231">
        <v>0.0</v>
      </c>
      <c r="Q1231">
        <v>2.24</v>
      </c>
      <c r="R1231"/>
      <c r="S1231"/>
      <c r="T1231"/>
      <c r="U1231"/>
      <c r="V1231"/>
      <c r="W1231">
        <v>18</v>
      </c>
    </row>
    <row r="1232" spans="1:23">
      <c r="A1232"/>
      <c r="B1232" t="s">
        <v>59</v>
      </c>
      <c r="C1232" t="s">
        <v>59</v>
      </c>
      <c r="D1232" t="s">
        <v>33</v>
      </c>
      <c r="E1232" t="s">
        <v>34</v>
      </c>
      <c r="F1232" t="str">
        <f>"0001548"</f>
        <v>0001548</v>
      </c>
      <c r="G1232">
        <v>1</v>
      </c>
      <c r="H1232" t="str">
        <f>"00000000"</f>
        <v>00000000</v>
      </c>
      <c r="I1232" t="s">
        <v>35</v>
      </c>
      <c r="J1232"/>
      <c r="K1232">
        <v>5.51</v>
      </c>
      <c r="L1232">
        <v>0.0</v>
      </c>
      <c r="M1232"/>
      <c r="N1232"/>
      <c r="O1232">
        <v>0.99</v>
      </c>
      <c r="P1232">
        <v>0.0</v>
      </c>
      <c r="Q1232">
        <v>6.5</v>
      </c>
      <c r="R1232"/>
      <c r="S1232"/>
      <c r="T1232"/>
      <c r="U1232"/>
      <c r="V1232"/>
      <c r="W1232">
        <v>18</v>
      </c>
    </row>
    <row r="1233" spans="1:23">
      <c r="A1233"/>
      <c r="B1233" t="s">
        <v>59</v>
      </c>
      <c r="C1233" t="s">
        <v>59</v>
      </c>
      <c r="D1233" t="s">
        <v>33</v>
      </c>
      <c r="E1233" t="s">
        <v>34</v>
      </c>
      <c r="F1233" t="str">
        <f>"0001549"</f>
        <v>0001549</v>
      </c>
      <c r="G1233">
        <v>1</v>
      </c>
      <c r="H1233" t="str">
        <f>"00000000"</f>
        <v>00000000</v>
      </c>
      <c r="I1233" t="s">
        <v>35</v>
      </c>
      <c r="J1233"/>
      <c r="K1233">
        <v>3.2</v>
      </c>
      <c r="L1233">
        <v>0.0</v>
      </c>
      <c r="M1233"/>
      <c r="N1233"/>
      <c r="O1233">
        <v>0.58</v>
      </c>
      <c r="P1233">
        <v>0.0</v>
      </c>
      <c r="Q1233">
        <v>3.78</v>
      </c>
      <c r="R1233"/>
      <c r="S1233"/>
      <c r="T1233"/>
      <c r="U1233"/>
      <c r="V1233"/>
      <c r="W1233">
        <v>18</v>
      </c>
    </row>
    <row r="1234" spans="1:23">
      <c r="A1234"/>
      <c r="B1234" t="s">
        <v>59</v>
      </c>
      <c r="C1234" t="s">
        <v>59</v>
      </c>
      <c r="D1234" t="s">
        <v>36</v>
      </c>
      <c r="E1234" t="s">
        <v>37</v>
      </c>
      <c r="F1234" t="str">
        <f>"0000029"</f>
        <v>0000029</v>
      </c>
      <c r="G1234">
        <v>6</v>
      </c>
      <c r="H1234" t="str">
        <f>"20479549916"</f>
        <v>20479549916</v>
      </c>
      <c r="I1234" t="s">
        <v>40</v>
      </c>
      <c r="J1234"/>
      <c r="K1234">
        <v>7.54</v>
      </c>
      <c r="L1234">
        <v>0.0</v>
      </c>
      <c r="M1234"/>
      <c r="N1234"/>
      <c r="O1234">
        <v>1.36</v>
      </c>
      <c r="P1234">
        <v>0.0</v>
      </c>
      <c r="Q1234">
        <v>8.9</v>
      </c>
      <c r="R1234"/>
      <c r="S1234"/>
      <c r="T1234"/>
      <c r="U1234"/>
      <c r="V1234"/>
      <c r="W1234">
        <v>18</v>
      </c>
    </row>
    <row r="1235" spans="1:23">
      <c r="A1235"/>
      <c r="B1235" t="s">
        <v>59</v>
      </c>
      <c r="C1235" t="s">
        <v>59</v>
      </c>
      <c r="D1235" t="s">
        <v>33</v>
      </c>
      <c r="E1235" t="s">
        <v>34</v>
      </c>
      <c r="F1235" t="str">
        <f>"0001550"</f>
        <v>0001550</v>
      </c>
      <c r="G1235">
        <v>1</v>
      </c>
      <c r="H1235" t="str">
        <f>"00000000"</f>
        <v>00000000</v>
      </c>
      <c r="I1235" t="s">
        <v>35</v>
      </c>
      <c r="J1235"/>
      <c r="K1235">
        <v>4.96</v>
      </c>
      <c r="L1235">
        <v>0.0</v>
      </c>
      <c r="M1235"/>
      <c r="N1235"/>
      <c r="O1235">
        <v>0.89</v>
      </c>
      <c r="P1235">
        <v>0.0</v>
      </c>
      <c r="Q1235">
        <v>5.85</v>
      </c>
      <c r="R1235"/>
      <c r="S1235"/>
      <c r="T1235"/>
      <c r="U1235"/>
      <c r="V1235"/>
      <c r="W1235">
        <v>18</v>
      </c>
    </row>
    <row r="1236" spans="1:23">
      <c r="A1236"/>
      <c r="B1236" t="s">
        <v>59</v>
      </c>
      <c r="C1236" t="s">
        <v>59</v>
      </c>
      <c r="D1236" t="s">
        <v>33</v>
      </c>
      <c r="E1236" t="s">
        <v>34</v>
      </c>
      <c r="F1236" t="str">
        <f>"0001551"</f>
        <v>0001551</v>
      </c>
      <c r="G1236">
        <v>1</v>
      </c>
      <c r="H1236" t="str">
        <f>"00000000"</f>
        <v>00000000</v>
      </c>
      <c r="I1236" t="s">
        <v>35</v>
      </c>
      <c r="J1236"/>
      <c r="K1236">
        <v>31.14</v>
      </c>
      <c r="L1236">
        <v>0.0</v>
      </c>
      <c r="M1236"/>
      <c r="N1236"/>
      <c r="O1236">
        <v>5.6</v>
      </c>
      <c r="P1236">
        <v>0.2</v>
      </c>
      <c r="Q1236">
        <v>36.94</v>
      </c>
      <c r="R1236"/>
      <c r="S1236"/>
      <c r="T1236"/>
      <c r="U1236"/>
      <c r="V1236"/>
      <c r="W1236">
        <v>18</v>
      </c>
    </row>
    <row r="1237" spans="1:23">
      <c r="A1237"/>
      <c r="B1237" t="s">
        <v>59</v>
      </c>
      <c r="C1237" t="s">
        <v>59</v>
      </c>
      <c r="D1237" t="s">
        <v>33</v>
      </c>
      <c r="E1237" t="s">
        <v>34</v>
      </c>
      <c r="F1237" t="str">
        <f>"0001552"</f>
        <v>0001552</v>
      </c>
      <c r="G1237">
        <v>1</v>
      </c>
      <c r="H1237" t="str">
        <f>"00000000"</f>
        <v>00000000</v>
      </c>
      <c r="I1237" t="s">
        <v>35</v>
      </c>
      <c r="J1237"/>
      <c r="K1237">
        <v>9.58</v>
      </c>
      <c r="L1237">
        <v>0.0</v>
      </c>
      <c r="M1237"/>
      <c r="N1237"/>
      <c r="O1237">
        <v>1.72</v>
      </c>
      <c r="P1237">
        <v>0.2</v>
      </c>
      <c r="Q1237">
        <v>11.5</v>
      </c>
      <c r="R1237"/>
      <c r="S1237"/>
      <c r="T1237"/>
      <c r="U1237"/>
      <c r="V1237"/>
      <c r="W1237">
        <v>18</v>
      </c>
    </row>
    <row r="1238" spans="1:23">
      <c r="A1238"/>
      <c r="B1238" t="s">
        <v>59</v>
      </c>
      <c r="C1238" t="s">
        <v>59</v>
      </c>
      <c r="D1238" t="s">
        <v>33</v>
      </c>
      <c r="E1238" t="s">
        <v>34</v>
      </c>
      <c r="F1238" t="str">
        <f>"0001553"</f>
        <v>0001553</v>
      </c>
      <c r="G1238">
        <v>1</v>
      </c>
      <c r="H1238" t="str">
        <f>"00000000"</f>
        <v>00000000</v>
      </c>
      <c r="I1238" t="s">
        <v>35</v>
      </c>
      <c r="J1238"/>
      <c r="K1238">
        <v>1.02</v>
      </c>
      <c r="L1238">
        <v>0.0</v>
      </c>
      <c r="M1238"/>
      <c r="N1238"/>
      <c r="O1238">
        <v>0.18</v>
      </c>
      <c r="P1238">
        <v>0.0</v>
      </c>
      <c r="Q1238">
        <v>1.2</v>
      </c>
      <c r="R1238"/>
      <c r="S1238"/>
      <c r="T1238"/>
      <c r="U1238"/>
      <c r="V1238"/>
      <c r="W1238">
        <v>18</v>
      </c>
    </row>
    <row r="1239" spans="1:23">
      <c r="A1239"/>
      <c r="B1239" t="s">
        <v>59</v>
      </c>
      <c r="C1239" t="s">
        <v>59</v>
      </c>
      <c r="D1239" t="s">
        <v>33</v>
      </c>
      <c r="E1239" t="s">
        <v>34</v>
      </c>
      <c r="F1239" t="str">
        <f>"0001554"</f>
        <v>0001554</v>
      </c>
      <c r="G1239">
        <v>1</v>
      </c>
      <c r="H1239" t="str">
        <f>"00000000"</f>
        <v>00000000</v>
      </c>
      <c r="I1239" t="s">
        <v>35</v>
      </c>
      <c r="J1239"/>
      <c r="K1239">
        <v>1.02</v>
      </c>
      <c r="L1239">
        <v>0.0</v>
      </c>
      <c r="M1239"/>
      <c r="N1239"/>
      <c r="O1239">
        <v>0.18</v>
      </c>
      <c r="P1239">
        <v>0.0</v>
      </c>
      <c r="Q1239">
        <v>1.2</v>
      </c>
      <c r="R1239"/>
      <c r="S1239"/>
      <c r="T1239"/>
      <c r="U1239"/>
      <c r="V1239"/>
      <c r="W1239">
        <v>18</v>
      </c>
    </row>
    <row r="1240" spans="1:23">
      <c r="A1240"/>
      <c r="B1240" t="s">
        <v>59</v>
      </c>
      <c r="C1240" t="s">
        <v>59</v>
      </c>
      <c r="D1240" t="s">
        <v>33</v>
      </c>
      <c r="E1240" t="s">
        <v>34</v>
      </c>
      <c r="F1240" t="str">
        <f>"0001555"</f>
        <v>0001555</v>
      </c>
      <c r="G1240">
        <v>1</v>
      </c>
      <c r="H1240" t="str">
        <f>"00000000"</f>
        <v>00000000</v>
      </c>
      <c r="I1240" t="s">
        <v>35</v>
      </c>
      <c r="J1240"/>
      <c r="K1240">
        <v>50.21</v>
      </c>
      <c r="L1240">
        <v>0.0</v>
      </c>
      <c r="M1240"/>
      <c r="N1240"/>
      <c r="O1240">
        <v>9.04</v>
      </c>
      <c r="P1240">
        <v>0.4</v>
      </c>
      <c r="Q1240">
        <v>59.65</v>
      </c>
      <c r="R1240"/>
      <c r="S1240"/>
      <c r="T1240"/>
      <c r="U1240"/>
      <c r="V1240"/>
      <c r="W1240">
        <v>18</v>
      </c>
    </row>
    <row r="1241" spans="1:23">
      <c r="A1241"/>
      <c r="B1241" t="s">
        <v>59</v>
      </c>
      <c r="C1241" t="s">
        <v>59</v>
      </c>
      <c r="D1241" t="s">
        <v>33</v>
      </c>
      <c r="E1241" t="s">
        <v>34</v>
      </c>
      <c r="F1241" t="str">
        <f>"0001556"</f>
        <v>0001556</v>
      </c>
      <c r="G1241">
        <v>1</v>
      </c>
      <c r="H1241" t="str">
        <f>"00000000"</f>
        <v>00000000</v>
      </c>
      <c r="I1241" t="s">
        <v>35</v>
      </c>
      <c r="J1241"/>
      <c r="K1241">
        <v>5.08</v>
      </c>
      <c r="L1241">
        <v>0.0</v>
      </c>
      <c r="M1241"/>
      <c r="N1241"/>
      <c r="O1241">
        <v>0.92</v>
      </c>
      <c r="P1241">
        <v>0.0</v>
      </c>
      <c r="Q1241">
        <v>6.0</v>
      </c>
      <c r="R1241"/>
      <c r="S1241"/>
      <c r="T1241"/>
      <c r="U1241"/>
      <c r="V1241"/>
      <c r="W1241">
        <v>18</v>
      </c>
    </row>
    <row r="1242" spans="1:23">
      <c r="A1242"/>
      <c r="B1242" t="s">
        <v>59</v>
      </c>
      <c r="C1242" t="s">
        <v>59</v>
      </c>
      <c r="D1242" t="s">
        <v>33</v>
      </c>
      <c r="E1242" t="s">
        <v>34</v>
      </c>
      <c r="F1242" t="str">
        <f>"0001557"</f>
        <v>0001557</v>
      </c>
      <c r="G1242">
        <v>1</v>
      </c>
      <c r="H1242" t="str">
        <f>"00000000"</f>
        <v>00000000</v>
      </c>
      <c r="I1242" t="s">
        <v>35</v>
      </c>
      <c r="J1242"/>
      <c r="K1242">
        <v>5.16</v>
      </c>
      <c r="L1242">
        <v>0.0</v>
      </c>
      <c r="M1242"/>
      <c r="N1242"/>
      <c r="O1242">
        <v>0.93</v>
      </c>
      <c r="P1242">
        <v>0.2</v>
      </c>
      <c r="Q1242">
        <v>6.29</v>
      </c>
      <c r="R1242"/>
      <c r="S1242"/>
      <c r="T1242"/>
      <c r="U1242"/>
      <c r="V1242"/>
      <c r="W1242">
        <v>18</v>
      </c>
    </row>
    <row r="1243" spans="1:23">
      <c r="A1243"/>
      <c r="B1243" t="s">
        <v>59</v>
      </c>
      <c r="C1243" t="s">
        <v>59</v>
      </c>
      <c r="D1243" t="s">
        <v>33</v>
      </c>
      <c r="E1243" t="s">
        <v>34</v>
      </c>
      <c r="F1243" t="str">
        <f>"0001558"</f>
        <v>0001558</v>
      </c>
      <c r="G1243">
        <v>1</v>
      </c>
      <c r="H1243" t="str">
        <f>"00000000"</f>
        <v>00000000</v>
      </c>
      <c r="I1243" t="s">
        <v>35</v>
      </c>
      <c r="J1243"/>
      <c r="K1243">
        <v>1.27</v>
      </c>
      <c r="L1243">
        <v>0.0</v>
      </c>
      <c r="M1243"/>
      <c r="N1243"/>
      <c r="O1243">
        <v>0.23</v>
      </c>
      <c r="P1243">
        <v>0.0</v>
      </c>
      <c r="Q1243">
        <v>1.5</v>
      </c>
      <c r="R1243"/>
      <c r="S1243"/>
      <c r="T1243"/>
      <c r="U1243"/>
      <c r="V1243"/>
      <c r="W1243">
        <v>18</v>
      </c>
    </row>
    <row r="1244" spans="1:23">
      <c r="A1244"/>
      <c r="B1244" t="s">
        <v>59</v>
      </c>
      <c r="C1244" t="s">
        <v>59</v>
      </c>
      <c r="D1244" t="s">
        <v>33</v>
      </c>
      <c r="E1244" t="s">
        <v>34</v>
      </c>
      <c r="F1244" t="str">
        <f>"0001559"</f>
        <v>0001559</v>
      </c>
      <c r="G1244">
        <v>1</v>
      </c>
      <c r="H1244" t="str">
        <f>"00000000"</f>
        <v>00000000</v>
      </c>
      <c r="I1244" t="s">
        <v>35</v>
      </c>
      <c r="J1244"/>
      <c r="K1244">
        <v>11.53</v>
      </c>
      <c r="L1244">
        <v>0.0</v>
      </c>
      <c r="M1244"/>
      <c r="N1244"/>
      <c r="O1244">
        <v>2.07</v>
      </c>
      <c r="P1244">
        <v>0.2</v>
      </c>
      <c r="Q1244">
        <v>13.8</v>
      </c>
      <c r="R1244"/>
      <c r="S1244"/>
      <c r="T1244"/>
      <c r="U1244"/>
      <c r="V1244"/>
      <c r="W1244">
        <v>18</v>
      </c>
    </row>
    <row r="1245" spans="1:23">
      <c r="A1245"/>
      <c r="B1245" t="s">
        <v>59</v>
      </c>
      <c r="C1245" t="s">
        <v>59</v>
      </c>
      <c r="D1245" t="s">
        <v>33</v>
      </c>
      <c r="E1245" t="s">
        <v>34</v>
      </c>
      <c r="F1245" t="str">
        <f>"0001560"</f>
        <v>0001560</v>
      </c>
      <c r="G1245">
        <v>1</v>
      </c>
      <c r="H1245" t="str">
        <f>"00000000"</f>
        <v>00000000</v>
      </c>
      <c r="I1245" t="s">
        <v>35</v>
      </c>
      <c r="J1245"/>
      <c r="K1245">
        <v>62.89</v>
      </c>
      <c r="L1245">
        <v>0.0</v>
      </c>
      <c r="M1245"/>
      <c r="N1245"/>
      <c r="O1245">
        <v>11.32</v>
      </c>
      <c r="P1245">
        <v>0.0</v>
      </c>
      <c r="Q1245">
        <v>74.21</v>
      </c>
      <c r="R1245"/>
      <c r="S1245"/>
      <c r="T1245"/>
      <c r="U1245"/>
      <c r="V1245"/>
      <c r="W1245">
        <v>18</v>
      </c>
    </row>
    <row r="1246" spans="1:23">
      <c r="A1246"/>
      <c r="B1246" t="s">
        <v>59</v>
      </c>
      <c r="C1246" t="s">
        <v>59</v>
      </c>
      <c r="D1246" t="s">
        <v>33</v>
      </c>
      <c r="E1246" t="s">
        <v>34</v>
      </c>
      <c r="F1246" t="str">
        <f>"0001561"</f>
        <v>0001561</v>
      </c>
      <c r="G1246">
        <v>1</v>
      </c>
      <c r="H1246" t="str">
        <f>"00000000"</f>
        <v>00000000</v>
      </c>
      <c r="I1246" t="s">
        <v>35</v>
      </c>
      <c r="J1246"/>
      <c r="K1246">
        <v>6.47</v>
      </c>
      <c r="L1246">
        <v>0.0</v>
      </c>
      <c r="M1246"/>
      <c r="N1246"/>
      <c r="O1246">
        <v>1.17</v>
      </c>
      <c r="P1246">
        <v>0.0</v>
      </c>
      <c r="Q1246">
        <v>7.64</v>
      </c>
      <c r="R1246"/>
      <c r="S1246"/>
      <c r="T1246"/>
      <c r="U1246"/>
      <c r="V1246"/>
      <c r="W1246">
        <v>18</v>
      </c>
    </row>
    <row r="1247" spans="1:23">
      <c r="A1247"/>
      <c r="B1247" t="s">
        <v>59</v>
      </c>
      <c r="C1247" t="s">
        <v>59</v>
      </c>
      <c r="D1247" t="s">
        <v>33</v>
      </c>
      <c r="E1247" t="s">
        <v>34</v>
      </c>
      <c r="F1247" t="str">
        <f>"0001562"</f>
        <v>0001562</v>
      </c>
      <c r="G1247">
        <v>1</v>
      </c>
      <c r="H1247" t="str">
        <f>"00000000"</f>
        <v>00000000</v>
      </c>
      <c r="I1247" t="s">
        <v>35</v>
      </c>
      <c r="J1247"/>
      <c r="K1247">
        <v>3.39</v>
      </c>
      <c r="L1247">
        <v>0.0</v>
      </c>
      <c r="M1247"/>
      <c r="N1247"/>
      <c r="O1247">
        <v>0.61</v>
      </c>
      <c r="P1247">
        <v>0.0</v>
      </c>
      <c r="Q1247">
        <v>4.0</v>
      </c>
      <c r="R1247"/>
      <c r="S1247"/>
      <c r="T1247"/>
      <c r="U1247"/>
      <c r="V1247"/>
      <c r="W1247">
        <v>18</v>
      </c>
    </row>
    <row r="1248" spans="1:23">
      <c r="A1248"/>
      <c r="B1248" t="s">
        <v>59</v>
      </c>
      <c r="C1248" t="s">
        <v>59</v>
      </c>
      <c r="D1248" t="s">
        <v>33</v>
      </c>
      <c r="E1248" t="s">
        <v>34</v>
      </c>
      <c r="F1248" t="str">
        <f>"0001563"</f>
        <v>0001563</v>
      </c>
      <c r="G1248">
        <v>1</v>
      </c>
      <c r="H1248" t="str">
        <f>"00000000"</f>
        <v>00000000</v>
      </c>
      <c r="I1248" t="s">
        <v>35</v>
      </c>
      <c r="J1248"/>
      <c r="K1248">
        <v>19.15</v>
      </c>
      <c r="L1248">
        <v>0.0</v>
      </c>
      <c r="M1248"/>
      <c r="N1248"/>
      <c r="O1248">
        <v>3.45</v>
      </c>
      <c r="P1248">
        <v>0.2</v>
      </c>
      <c r="Q1248">
        <v>22.8</v>
      </c>
      <c r="R1248"/>
      <c r="S1248"/>
      <c r="T1248"/>
      <c r="U1248"/>
      <c r="V1248"/>
      <c r="W1248">
        <v>18</v>
      </c>
    </row>
    <row r="1249" spans="1:23">
      <c r="A1249"/>
      <c r="B1249" t="s">
        <v>59</v>
      </c>
      <c r="C1249" t="s">
        <v>59</v>
      </c>
      <c r="D1249" t="s">
        <v>33</v>
      </c>
      <c r="E1249" t="s">
        <v>34</v>
      </c>
      <c r="F1249" t="str">
        <f>"0001564"</f>
        <v>0001564</v>
      </c>
      <c r="G1249">
        <v>1</v>
      </c>
      <c r="H1249" t="str">
        <f>"00000000"</f>
        <v>00000000</v>
      </c>
      <c r="I1249" t="s">
        <v>35</v>
      </c>
      <c r="J1249"/>
      <c r="K1249">
        <v>1.27</v>
      </c>
      <c r="L1249">
        <v>0.0</v>
      </c>
      <c r="M1249"/>
      <c r="N1249"/>
      <c r="O1249">
        <v>0.23</v>
      </c>
      <c r="P1249">
        <v>0.0</v>
      </c>
      <c r="Q1249">
        <v>1.5</v>
      </c>
      <c r="R1249"/>
      <c r="S1249"/>
      <c r="T1249"/>
      <c r="U1249"/>
      <c r="V1249"/>
      <c r="W1249">
        <v>18</v>
      </c>
    </row>
    <row r="1250" spans="1:23">
      <c r="A1250"/>
      <c r="B1250" t="s">
        <v>59</v>
      </c>
      <c r="C1250" t="s">
        <v>59</v>
      </c>
      <c r="D1250" t="s">
        <v>33</v>
      </c>
      <c r="E1250" t="s">
        <v>34</v>
      </c>
      <c r="F1250" t="str">
        <f>"0001565"</f>
        <v>0001565</v>
      </c>
      <c r="G1250">
        <v>1</v>
      </c>
      <c r="H1250" t="str">
        <f>"00000000"</f>
        <v>00000000</v>
      </c>
      <c r="I1250" t="s">
        <v>35</v>
      </c>
      <c r="J1250"/>
      <c r="K1250">
        <v>8.57</v>
      </c>
      <c r="L1250">
        <v>0.0</v>
      </c>
      <c r="M1250"/>
      <c r="N1250"/>
      <c r="O1250">
        <v>1.54</v>
      </c>
      <c r="P1250">
        <v>0.0</v>
      </c>
      <c r="Q1250">
        <v>10.11</v>
      </c>
      <c r="R1250"/>
      <c r="S1250"/>
      <c r="T1250"/>
      <c r="U1250"/>
      <c r="V1250"/>
      <c r="W1250">
        <v>18</v>
      </c>
    </row>
    <row r="1251" spans="1:23">
      <c r="A1251"/>
      <c r="B1251" t="s">
        <v>59</v>
      </c>
      <c r="C1251" t="s">
        <v>59</v>
      </c>
      <c r="D1251" t="s">
        <v>33</v>
      </c>
      <c r="E1251" t="s">
        <v>34</v>
      </c>
      <c r="F1251" t="str">
        <f>"0001566"</f>
        <v>0001566</v>
      </c>
      <c r="G1251">
        <v>1</v>
      </c>
      <c r="H1251" t="str">
        <f>"00000000"</f>
        <v>00000000</v>
      </c>
      <c r="I1251" t="s">
        <v>35</v>
      </c>
      <c r="J1251"/>
      <c r="K1251">
        <v>1.21</v>
      </c>
      <c r="L1251">
        <v>0.0</v>
      </c>
      <c r="M1251"/>
      <c r="N1251"/>
      <c r="O1251">
        <v>0.22</v>
      </c>
      <c r="P1251">
        <v>0.0</v>
      </c>
      <c r="Q1251">
        <v>1.42</v>
      </c>
      <c r="R1251"/>
      <c r="S1251"/>
      <c r="T1251"/>
      <c r="U1251"/>
      <c r="V1251"/>
      <c r="W1251">
        <v>18</v>
      </c>
    </row>
    <row r="1252" spans="1:23">
      <c r="A1252"/>
      <c r="B1252" t="s">
        <v>59</v>
      </c>
      <c r="C1252" t="s">
        <v>59</v>
      </c>
      <c r="D1252" t="s">
        <v>33</v>
      </c>
      <c r="E1252" t="s">
        <v>34</v>
      </c>
      <c r="F1252" t="str">
        <f>"0001567"</f>
        <v>0001567</v>
      </c>
      <c r="G1252">
        <v>1</v>
      </c>
      <c r="H1252" t="str">
        <f>"00000000"</f>
        <v>00000000</v>
      </c>
      <c r="I1252" t="s">
        <v>35</v>
      </c>
      <c r="J1252"/>
      <c r="K1252">
        <v>3.81</v>
      </c>
      <c r="L1252">
        <v>0.0</v>
      </c>
      <c r="M1252"/>
      <c r="N1252"/>
      <c r="O1252">
        <v>0.69</v>
      </c>
      <c r="P1252">
        <v>0.0</v>
      </c>
      <c r="Q1252">
        <v>4.5</v>
      </c>
      <c r="R1252"/>
      <c r="S1252"/>
      <c r="T1252"/>
      <c r="U1252"/>
      <c r="V1252"/>
      <c r="W1252">
        <v>18</v>
      </c>
    </row>
    <row r="1253" spans="1:23">
      <c r="A1253"/>
      <c r="B1253" t="s">
        <v>59</v>
      </c>
      <c r="C1253" t="s">
        <v>59</v>
      </c>
      <c r="D1253" t="s">
        <v>33</v>
      </c>
      <c r="E1253" t="s">
        <v>34</v>
      </c>
      <c r="F1253" t="str">
        <f>"0001568"</f>
        <v>0001568</v>
      </c>
      <c r="G1253">
        <v>1</v>
      </c>
      <c r="H1253" t="str">
        <f>"00000000"</f>
        <v>00000000</v>
      </c>
      <c r="I1253" t="s">
        <v>35</v>
      </c>
      <c r="J1253"/>
      <c r="K1253">
        <v>36.19</v>
      </c>
      <c r="L1253">
        <v>0.0</v>
      </c>
      <c r="M1253"/>
      <c r="N1253"/>
      <c r="O1253">
        <v>6.51</v>
      </c>
      <c r="P1253">
        <v>0.4</v>
      </c>
      <c r="Q1253">
        <v>43.1</v>
      </c>
      <c r="R1253"/>
      <c r="S1253"/>
      <c r="T1253"/>
      <c r="U1253"/>
      <c r="V1253"/>
      <c r="W1253">
        <v>18</v>
      </c>
    </row>
    <row r="1254" spans="1:23">
      <c r="A1254"/>
      <c r="B1254" t="s">
        <v>59</v>
      </c>
      <c r="C1254" t="s">
        <v>59</v>
      </c>
      <c r="D1254" t="s">
        <v>33</v>
      </c>
      <c r="E1254" t="s">
        <v>34</v>
      </c>
      <c r="F1254" t="str">
        <f>"0001569"</f>
        <v>0001569</v>
      </c>
      <c r="G1254">
        <v>1</v>
      </c>
      <c r="H1254" t="str">
        <f>"00000000"</f>
        <v>00000000</v>
      </c>
      <c r="I1254" t="s">
        <v>35</v>
      </c>
      <c r="J1254"/>
      <c r="K1254">
        <v>21.1</v>
      </c>
      <c r="L1254">
        <v>0.0</v>
      </c>
      <c r="M1254"/>
      <c r="N1254"/>
      <c r="O1254">
        <v>3.8</v>
      </c>
      <c r="P1254">
        <v>0.0</v>
      </c>
      <c r="Q1254">
        <v>24.9</v>
      </c>
      <c r="R1254"/>
      <c r="S1254"/>
      <c r="T1254"/>
      <c r="U1254"/>
      <c r="V1254"/>
      <c r="W1254">
        <v>18</v>
      </c>
    </row>
    <row r="1255" spans="1:23">
      <c r="A1255"/>
      <c r="B1255" t="s">
        <v>59</v>
      </c>
      <c r="C1255" t="s">
        <v>59</v>
      </c>
      <c r="D1255" t="s">
        <v>33</v>
      </c>
      <c r="E1255" t="s">
        <v>34</v>
      </c>
      <c r="F1255" t="str">
        <f>"0001570"</f>
        <v>0001570</v>
      </c>
      <c r="G1255">
        <v>1</v>
      </c>
      <c r="H1255" t="str">
        <f>"00000000"</f>
        <v>00000000</v>
      </c>
      <c r="I1255" t="s">
        <v>35</v>
      </c>
      <c r="J1255"/>
      <c r="K1255">
        <v>12.2</v>
      </c>
      <c r="L1255">
        <v>0.0</v>
      </c>
      <c r="M1255"/>
      <c r="N1255"/>
      <c r="O1255">
        <v>2.2</v>
      </c>
      <c r="P1255">
        <v>0.2</v>
      </c>
      <c r="Q1255">
        <v>14.6</v>
      </c>
      <c r="R1255"/>
      <c r="S1255"/>
      <c r="T1255"/>
      <c r="U1255"/>
      <c r="V1255"/>
      <c r="W1255">
        <v>18</v>
      </c>
    </row>
    <row r="1256" spans="1:23">
      <c r="A1256"/>
      <c r="B1256" t="s">
        <v>59</v>
      </c>
      <c r="C1256" t="s">
        <v>59</v>
      </c>
      <c r="D1256" t="s">
        <v>33</v>
      </c>
      <c r="E1256" t="s">
        <v>34</v>
      </c>
      <c r="F1256" t="str">
        <f>"0001571"</f>
        <v>0001571</v>
      </c>
      <c r="G1256">
        <v>1</v>
      </c>
      <c r="H1256" t="str">
        <f>"00000000"</f>
        <v>00000000</v>
      </c>
      <c r="I1256" t="s">
        <v>35</v>
      </c>
      <c r="J1256"/>
      <c r="K1256">
        <v>1.26</v>
      </c>
      <c r="L1256">
        <v>0.0</v>
      </c>
      <c r="M1256"/>
      <c r="N1256"/>
      <c r="O1256">
        <v>0.23</v>
      </c>
      <c r="P1256">
        <v>0.0</v>
      </c>
      <c r="Q1256">
        <v>1.49</v>
      </c>
      <c r="R1256"/>
      <c r="S1256"/>
      <c r="T1256"/>
      <c r="U1256"/>
      <c r="V1256"/>
      <c r="W1256">
        <v>18</v>
      </c>
    </row>
    <row r="1257" spans="1:23">
      <c r="A1257"/>
      <c r="B1257" t="s">
        <v>59</v>
      </c>
      <c r="C1257" t="s">
        <v>59</v>
      </c>
      <c r="D1257" t="s">
        <v>33</v>
      </c>
      <c r="E1257" t="s">
        <v>34</v>
      </c>
      <c r="F1257" t="str">
        <f>"0001572"</f>
        <v>0001572</v>
      </c>
      <c r="G1257">
        <v>1</v>
      </c>
      <c r="H1257" t="str">
        <f>"00000000"</f>
        <v>00000000</v>
      </c>
      <c r="I1257" t="s">
        <v>35</v>
      </c>
      <c r="J1257"/>
      <c r="K1257">
        <v>14.14</v>
      </c>
      <c r="L1257">
        <v>0.0</v>
      </c>
      <c r="M1257"/>
      <c r="N1257"/>
      <c r="O1257">
        <v>2.55</v>
      </c>
      <c r="P1257">
        <v>0.0</v>
      </c>
      <c r="Q1257">
        <v>16.69</v>
      </c>
      <c r="R1257"/>
      <c r="S1257"/>
      <c r="T1257"/>
      <c r="U1257"/>
      <c r="V1257"/>
      <c r="W1257">
        <v>18</v>
      </c>
    </row>
    <row r="1258" spans="1:23">
      <c r="A1258"/>
      <c r="B1258" t="s">
        <v>59</v>
      </c>
      <c r="C1258" t="s">
        <v>59</v>
      </c>
      <c r="D1258" t="s">
        <v>33</v>
      </c>
      <c r="E1258" t="s">
        <v>34</v>
      </c>
      <c r="F1258" t="str">
        <f>"0001573"</f>
        <v>0001573</v>
      </c>
      <c r="G1258">
        <v>1</v>
      </c>
      <c r="H1258" t="str">
        <f>"00000000"</f>
        <v>00000000</v>
      </c>
      <c r="I1258" t="s">
        <v>35</v>
      </c>
      <c r="J1258"/>
      <c r="K1258">
        <v>5.76</v>
      </c>
      <c r="L1258">
        <v>0.0</v>
      </c>
      <c r="M1258"/>
      <c r="N1258"/>
      <c r="O1258">
        <v>1.04</v>
      </c>
      <c r="P1258">
        <v>0.0</v>
      </c>
      <c r="Q1258">
        <v>6.8</v>
      </c>
      <c r="R1258"/>
      <c r="S1258"/>
      <c r="T1258"/>
      <c r="U1258"/>
      <c r="V1258"/>
      <c r="W1258">
        <v>18</v>
      </c>
    </row>
    <row r="1259" spans="1:23">
      <c r="A1259"/>
      <c r="B1259" t="s">
        <v>59</v>
      </c>
      <c r="C1259" t="s">
        <v>59</v>
      </c>
      <c r="D1259" t="s">
        <v>33</v>
      </c>
      <c r="E1259" t="s">
        <v>34</v>
      </c>
      <c r="F1259" t="str">
        <f>"0001574"</f>
        <v>0001574</v>
      </c>
      <c r="G1259">
        <v>1</v>
      </c>
      <c r="H1259" t="str">
        <f>"00000000"</f>
        <v>00000000</v>
      </c>
      <c r="I1259" t="s">
        <v>35</v>
      </c>
      <c r="J1259"/>
      <c r="K1259">
        <v>0.03</v>
      </c>
      <c r="L1259">
        <v>0.0</v>
      </c>
      <c r="M1259"/>
      <c r="N1259"/>
      <c r="O1259">
        <v>0.0</v>
      </c>
      <c r="P1259">
        <v>0.2</v>
      </c>
      <c r="Q1259">
        <v>0.23</v>
      </c>
      <c r="R1259"/>
      <c r="S1259"/>
      <c r="T1259"/>
      <c r="U1259"/>
      <c r="V1259"/>
      <c r="W1259">
        <v>18</v>
      </c>
    </row>
    <row r="1260" spans="1:23">
      <c r="A1260"/>
      <c r="B1260" t="s">
        <v>59</v>
      </c>
      <c r="C1260" t="s">
        <v>59</v>
      </c>
      <c r="D1260" t="s">
        <v>33</v>
      </c>
      <c r="E1260" t="s">
        <v>34</v>
      </c>
      <c r="F1260" t="str">
        <f>"0001575"</f>
        <v>0001575</v>
      </c>
      <c r="G1260">
        <v>1</v>
      </c>
      <c r="H1260" t="str">
        <f>"00000000"</f>
        <v>00000000</v>
      </c>
      <c r="I1260" t="s">
        <v>35</v>
      </c>
      <c r="J1260"/>
      <c r="K1260">
        <v>31.35</v>
      </c>
      <c r="L1260">
        <v>0.0</v>
      </c>
      <c r="M1260"/>
      <c r="N1260"/>
      <c r="O1260">
        <v>5.64</v>
      </c>
      <c r="P1260">
        <v>0.0</v>
      </c>
      <c r="Q1260">
        <v>36.99</v>
      </c>
      <c r="R1260"/>
      <c r="S1260"/>
      <c r="T1260"/>
      <c r="U1260"/>
      <c r="V1260"/>
      <c r="W1260">
        <v>18</v>
      </c>
    </row>
    <row r="1261" spans="1:23">
      <c r="A1261"/>
      <c r="B1261" t="s">
        <v>59</v>
      </c>
      <c r="C1261" t="s">
        <v>59</v>
      </c>
      <c r="D1261" t="s">
        <v>33</v>
      </c>
      <c r="E1261" t="s">
        <v>34</v>
      </c>
      <c r="F1261" t="str">
        <f>"0001576"</f>
        <v>0001576</v>
      </c>
      <c r="G1261">
        <v>1</v>
      </c>
      <c r="H1261" t="str">
        <f>"00000000"</f>
        <v>00000000</v>
      </c>
      <c r="I1261" t="s">
        <v>35</v>
      </c>
      <c r="J1261"/>
      <c r="K1261">
        <v>18.27</v>
      </c>
      <c r="L1261">
        <v>0.0</v>
      </c>
      <c r="M1261"/>
      <c r="N1261"/>
      <c r="O1261">
        <v>3.29</v>
      </c>
      <c r="P1261">
        <v>0.0</v>
      </c>
      <c r="Q1261">
        <v>21.56</v>
      </c>
      <c r="R1261"/>
      <c r="S1261"/>
      <c r="T1261"/>
      <c r="U1261"/>
      <c r="V1261"/>
      <c r="W1261">
        <v>18</v>
      </c>
    </row>
    <row r="1262" spans="1:23">
      <c r="A1262"/>
      <c r="B1262" t="s">
        <v>59</v>
      </c>
      <c r="C1262" t="s">
        <v>59</v>
      </c>
      <c r="D1262" t="s">
        <v>33</v>
      </c>
      <c r="E1262" t="s">
        <v>34</v>
      </c>
      <c r="F1262" t="str">
        <f>"0001577"</f>
        <v>0001577</v>
      </c>
      <c r="G1262">
        <v>1</v>
      </c>
      <c r="H1262" t="str">
        <f>"00000000"</f>
        <v>00000000</v>
      </c>
      <c r="I1262" t="s">
        <v>35</v>
      </c>
      <c r="J1262"/>
      <c r="K1262">
        <v>1.27</v>
      </c>
      <c r="L1262">
        <v>0.0</v>
      </c>
      <c r="M1262"/>
      <c r="N1262"/>
      <c r="O1262">
        <v>0.23</v>
      </c>
      <c r="P1262">
        <v>0.0</v>
      </c>
      <c r="Q1262">
        <v>1.5</v>
      </c>
      <c r="R1262"/>
      <c r="S1262"/>
      <c r="T1262"/>
      <c r="U1262"/>
      <c r="V1262"/>
      <c r="W1262">
        <v>18</v>
      </c>
    </row>
    <row r="1263" spans="1:23">
      <c r="A1263"/>
      <c r="B1263" t="s">
        <v>59</v>
      </c>
      <c r="C1263" t="s">
        <v>59</v>
      </c>
      <c r="D1263" t="s">
        <v>33</v>
      </c>
      <c r="E1263" t="s">
        <v>34</v>
      </c>
      <c r="F1263" t="str">
        <f>"0001578"</f>
        <v>0001578</v>
      </c>
      <c r="G1263">
        <v>1</v>
      </c>
      <c r="H1263" t="str">
        <f>"00000000"</f>
        <v>00000000</v>
      </c>
      <c r="I1263" t="s">
        <v>35</v>
      </c>
      <c r="J1263"/>
      <c r="K1263">
        <v>4.07</v>
      </c>
      <c r="L1263">
        <v>0.0</v>
      </c>
      <c r="M1263"/>
      <c r="N1263"/>
      <c r="O1263">
        <v>0.73</v>
      </c>
      <c r="P1263">
        <v>0.0</v>
      </c>
      <c r="Q1263">
        <v>4.8</v>
      </c>
      <c r="R1263"/>
      <c r="S1263"/>
      <c r="T1263"/>
      <c r="U1263"/>
      <c r="V1263"/>
      <c r="W1263">
        <v>18</v>
      </c>
    </row>
    <row r="1264" spans="1:23">
      <c r="A1264"/>
      <c r="B1264" t="s">
        <v>59</v>
      </c>
      <c r="C1264" t="s">
        <v>59</v>
      </c>
      <c r="D1264" t="s">
        <v>33</v>
      </c>
      <c r="E1264" t="s">
        <v>34</v>
      </c>
      <c r="F1264" t="str">
        <f>"0001579"</f>
        <v>0001579</v>
      </c>
      <c r="G1264">
        <v>1</v>
      </c>
      <c r="H1264" t="str">
        <f>"00000000"</f>
        <v>00000000</v>
      </c>
      <c r="I1264" t="s">
        <v>35</v>
      </c>
      <c r="J1264"/>
      <c r="K1264">
        <v>63.9</v>
      </c>
      <c r="L1264">
        <v>0.0</v>
      </c>
      <c r="M1264"/>
      <c r="N1264"/>
      <c r="O1264">
        <v>11.5</v>
      </c>
      <c r="P1264">
        <v>0.2</v>
      </c>
      <c r="Q1264">
        <v>75.6</v>
      </c>
      <c r="R1264"/>
      <c r="S1264"/>
      <c r="T1264"/>
      <c r="U1264"/>
      <c r="V1264"/>
      <c r="W1264">
        <v>18</v>
      </c>
    </row>
    <row r="1265" spans="1:23">
      <c r="A1265"/>
      <c r="B1265" t="s">
        <v>59</v>
      </c>
      <c r="C1265" t="s">
        <v>59</v>
      </c>
      <c r="D1265" t="s">
        <v>33</v>
      </c>
      <c r="E1265" t="s">
        <v>34</v>
      </c>
      <c r="F1265" t="str">
        <f>"0001580"</f>
        <v>0001580</v>
      </c>
      <c r="G1265">
        <v>1</v>
      </c>
      <c r="H1265" t="str">
        <f>"00000000"</f>
        <v>00000000</v>
      </c>
      <c r="I1265" t="s">
        <v>35</v>
      </c>
      <c r="J1265"/>
      <c r="K1265">
        <v>31.61</v>
      </c>
      <c r="L1265">
        <v>0.0</v>
      </c>
      <c r="M1265"/>
      <c r="N1265"/>
      <c r="O1265">
        <v>5.69</v>
      </c>
      <c r="P1265">
        <v>0.0</v>
      </c>
      <c r="Q1265">
        <v>37.3</v>
      </c>
      <c r="R1265"/>
      <c r="S1265"/>
      <c r="T1265"/>
      <c r="U1265"/>
      <c r="V1265"/>
      <c r="W1265">
        <v>18</v>
      </c>
    </row>
    <row r="1266" spans="1:23">
      <c r="A1266"/>
      <c r="B1266" t="s">
        <v>59</v>
      </c>
      <c r="C1266" t="s">
        <v>59</v>
      </c>
      <c r="D1266" t="s">
        <v>33</v>
      </c>
      <c r="E1266" t="s">
        <v>34</v>
      </c>
      <c r="F1266" t="str">
        <f>"0001581"</f>
        <v>0001581</v>
      </c>
      <c r="G1266">
        <v>1</v>
      </c>
      <c r="H1266" t="str">
        <f>"00000000"</f>
        <v>00000000</v>
      </c>
      <c r="I1266" t="s">
        <v>35</v>
      </c>
      <c r="J1266"/>
      <c r="K1266">
        <v>2.97</v>
      </c>
      <c r="L1266">
        <v>0.0</v>
      </c>
      <c r="M1266"/>
      <c r="N1266"/>
      <c r="O1266">
        <v>0.53</v>
      </c>
      <c r="P1266">
        <v>0.0</v>
      </c>
      <c r="Q1266">
        <v>3.5</v>
      </c>
      <c r="R1266"/>
      <c r="S1266"/>
      <c r="T1266"/>
      <c r="U1266"/>
      <c r="V1266"/>
      <c r="W1266">
        <v>18</v>
      </c>
    </row>
    <row r="1267" spans="1:23">
      <c r="A1267"/>
      <c r="B1267" t="s">
        <v>59</v>
      </c>
      <c r="C1267" t="s">
        <v>59</v>
      </c>
      <c r="D1267" t="s">
        <v>33</v>
      </c>
      <c r="E1267" t="s">
        <v>34</v>
      </c>
      <c r="F1267" t="str">
        <f>"0001582"</f>
        <v>0001582</v>
      </c>
      <c r="G1267">
        <v>1</v>
      </c>
      <c r="H1267" t="str">
        <f>"00000000"</f>
        <v>00000000</v>
      </c>
      <c r="I1267" t="s">
        <v>35</v>
      </c>
      <c r="J1267"/>
      <c r="K1267">
        <v>0.51</v>
      </c>
      <c r="L1267">
        <v>0.0</v>
      </c>
      <c r="M1267"/>
      <c r="N1267"/>
      <c r="O1267">
        <v>0.09</v>
      </c>
      <c r="P1267">
        <v>0.0</v>
      </c>
      <c r="Q1267">
        <v>0.61</v>
      </c>
      <c r="R1267"/>
      <c r="S1267"/>
      <c r="T1267"/>
      <c r="U1267"/>
      <c r="V1267"/>
      <c r="W1267">
        <v>18</v>
      </c>
    </row>
    <row r="1268" spans="1:23">
      <c r="A1268"/>
      <c r="B1268" t="s">
        <v>59</v>
      </c>
      <c r="C1268" t="s">
        <v>59</v>
      </c>
      <c r="D1268" t="s">
        <v>33</v>
      </c>
      <c r="E1268" t="s">
        <v>34</v>
      </c>
      <c r="F1268" t="str">
        <f>"0001583"</f>
        <v>0001583</v>
      </c>
      <c r="G1268">
        <v>1</v>
      </c>
      <c r="H1268" t="str">
        <f>"00000000"</f>
        <v>00000000</v>
      </c>
      <c r="I1268" t="s">
        <v>35</v>
      </c>
      <c r="J1268"/>
      <c r="K1268">
        <v>7.88</v>
      </c>
      <c r="L1268">
        <v>0.0</v>
      </c>
      <c r="M1268"/>
      <c r="N1268"/>
      <c r="O1268">
        <v>1.42</v>
      </c>
      <c r="P1268">
        <v>0.2</v>
      </c>
      <c r="Q1268">
        <v>9.5</v>
      </c>
      <c r="R1268"/>
      <c r="S1268"/>
      <c r="T1268"/>
      <c r="U1268"/>
      <c r="V1268"/>
      <c r="W1268">
        <v>18</v>
      </c>
    </row>
    <row r="1269" spans="1:23">
      <c r="A1269"/>
      <c r="B1269" t="s">
        <v>59</v>
      </c>
      <c r="C1269" t="s">
        <v>59</v>
      </c>
      <c r="D1269" t="s">
        <v>33</v>
      </c>
      <c r="E1269" t="s">
        <v>34</v>
      </c>
      <c r="F1269" t="str">
        <f>"0001584"</f>
        <v>0001584</v>
      </c>
      <c r="G1269">
        <v>1</v>
      </c>
      <c r="H1269" t="str">
        <f>"00000000"</f>
        <v>00000000</v>
      </c>
      <c r="I1269" t="s">
        <v>35</v>
      </c>
      <c r="J1269"/>
      <c r="K1269">
        <v>9.2</v>
      </c>
      <c r="L1269">
        <v>0.0</v>
      </c>
      <c r="M1269"/>
      <c r="N1269"/>
      <c r="O1269">
        <v>1.66</v>
      </c>
      <c r="P1269">
        <v>0.2</v>
      </c>
      <c r="Q1269">
        <v>11.06</v>
      </c>
      <c r="R1269"/>
      <c r="S1269"/>
      <c r="T1269"/>
      <c r="U1269"/>
      <c r="V1269"/>
      <c r="W1269">
        <v>18</v>
      </c>
    </row>
    <row r="1270" spans="1:23">
      <c r="A1270"/>
      <c r="B1270" t="s">
        <v>59</v>
      </c>
      <c r="C1270" t="s">
        <v>59</v>
      </c>
      <c r="D1270" t="s">
        <v>33</v>
      </c>
      <c r="E1270" t="s">
        <v>34</v>
      </c>
      <c r="F1270" t="str">
        <f>"0001585"</f>
        <v>0001585</v>
      </c>
      <c r="G1270">
        <v>1</v>
      </c>
      <c r="H1270" t="str">
        <f>"00000000"</f>
        <v>00000000</v>
      </c>
      <c r="I1270" t="s">
        <v>35</v>
      </c>
      <c r="J1270"/>
      <c r="K1270">
        <v>17.97</v>
      </c>
      <c r="L1270">
        <v>0.0</v>
      </c>
      <c r="M1270"/>
      <c r="N1270"/>
      <c r="O1270">
        <v>3.23</v>
      </c>
      <c r="P1270">
        <v>0.0</v>
      </c>
      <c r="Q1270">
        <v>21.2</v>
      </c>
      <c r="R1270"/>
      <c r="S1270"/>
      <c r="T1270"/>
      <c r="U1270"/>
      <c r="V1270"/>
      <c r="W1270">
        <v>18</v>
      </c>
    </row>
    <row r="1271" spans="1:23">
      <c r="A1271"/>
      <c r="B1271" t="s">
        <v>59</v>
      </c>
      <c r="C1271" t="s">
        <v>59</v>
      </c>
      <c r="D1271" t="s">
        <v>33</v>
      </c>
      <c r="E1271" t="s">
        <v>34</v>
      </c>
      <c r="F1271" t="str">
        <f>"0001586"</f>
        <v>0001586</v>
      </c>
      <c r="G1271">
        <v>1</v>
      </c>
      <c r="H1271" t="str">
        <f>"00000000"</f>
        <v>00000000</v>
      </c>
      <c r="I1271" t="s">
        <v>35</v>
      </c>
      <c r="J1271"/>
      <c r="K1271">
        <v>14.66</v>
      </c>
      <c r="L1271">
        <v>0.0</v>
      </c>
      <c r="M1271"/>
      <c r="N1271"/>
      <c r="O1271">
        <v>2.64</v>
      </c>
      <c r="P1271">
        <v>0.2</v>
      </c>
      <c r="Q1271">
        <v>17.5</v>
      </c>
      <c r="R1271"/>
      <c r="S1271"/>
      <c r="T1271"/>
      <c r="U1271"/>
      <c r="V1271"/>
      <c r="W1271">
        <v>18</v>
      </c>
    </row>
    <row r="1272" spans="1:23">
      <c r="A1272"/>
      <c r="B1272" t="s">
        <v>59</v>
      </c>
      <c r="C1272" t="s">
        <v>59</v>
      </c>
      <c r="D1272" t="s">
        <v>33</v>
      </c>
      <c r="E1272" t="s">
        <v>34</v>
      </c>
      <c r="F1272" t="str">
        <f>"0001587"</f>
        <v>0001587</v>
      </c>
      <c r="G1272">
        <v>1</v>
      </c>
      <c r="H1272" t="str">
        <f>"00000000"</f>
        <v>00000000</v>
      </c>
      <c r="I1272" t="s">
        <v>35</v>
      </c>
      <c r="J1272"/>
      <c r="K1272">
        <v>3.19</v>
      </c>
      <c r="L1272">
        <v>0.0</v>
      </c>
      <c r="M1272"/>
      <c r="N1272"/>
      <c r="O1272">
        <v>0.58</v>
      </c>
      <c r="P1272">
        <v>0.0</v>
      </c>
      <c r="Q1272">
        <v>3.77</v>
      </c>
      <c r="R1272"/>
      <c r="S1272"/>
      <c r="T1272"/>
      <c r="U1272"/>
      <c r="V1272"/>
      <c r="W1272">
        <v>18</v>
      </c>
    </row>
    <row r="1273" spans="1:23">
      <c r="A1273"/>
      <c r="B1273" t="s">
        <v>59</v>
      </c>
      <c r="C1273" t="s">
        <v>59</v>
      </c>
      <c r="D1273" t="s">
        <v>33</v>
      </c>
      <c r="E1273" t="s">
        <v>34</v>
      </c>
      <c r="F1273" t="str">
        <f>"0001588"</f>
        <v>0001588</v>
      </c>
      <c r="G1273">
        <v>1</v>
      </c>
      <c r="H1273" t="str">
        <f>"00000000"</f>
        <v>00000000</v>
      </c>
      <c r="I1273" t="s">
        <v>35</v>
      </c>
      <c r="J1273"/>
      <c r="K1273">
        <v>1.18</v>
      </c>
      <c r="L1273">
        <v>0.0</v>
      </c>
      <c r="M1273"/>
      <c r="N1273"/>
      <c r="O1273">
        <v>0.21</v>
      </c>
      <c r="P1273">
        <v>0.0</v>
      </c>
      <c r="Q1273">
        <v>1.4</v>
      </c>
      <c r="R1273"/>
      <c r="S1273"/>
      <c r="T1273"/>
      <c r="U1273"/>
      <c r="V1273"/>
      <c r="W1273">
        <v>18</v>
      </c>
    </row>
    <row r="1274" spans="1:23">
      <c r="A1274"/>
      <c r="B1274" t="s">
        <v>59</v>
      </c>
      <c r="C1274" t="s">
        <v>59</v>
      </c>
      <c r="D1274" t="s">
        <v>33</v>
      </c>
      <c r="E1274" t="s">
        <v>34</v>
      </c>
      <c r="F1274" t="str">
        <f>"0001589"</f>
        <v>0001589</v>
      </c>
      <c r="G1274">
        <v>1</v>
      </c>
      <c r="H1274" t="str">
        <f>"00000000"</f>
        <v>00000000</v>
      </c>
      <c r="I1274" t="s">
        <v>35</v>
      </c>
      <c r="J1274"/>
      <c r="K1274">
        <v>13.32</v>
      </c>
      <c r="L1274">
        <v>0.0</v>
      </c>
      <c r="M1274"/>
      <c r="N1274"/>
      <c r="O1274">
        <v>2.4</v>
      </c>
      <c r="P1274">
        <v>0.0</v>
      </c>
      <c r="Q1274">
        <v>15.72</v>
      </c>
      <c r="R1274"/>
      <c r="S1274"/>
      <c r="T1274"/>
      <c r="U1274"/>
      <c r="V1274"/>
      <c r="W1274">
        <v>18</v>
      </c>
    </row>
    <row r="1275" spans="1:23">
      <c r="A1275"/>
      <c r="B1275" t="s">
        <v>59</v>
      </c>
      <c r="C1275" t="s">
        <v>59</v>
      </c>
      <c r="D1275" t="s">
        <v>33</v>
      </c>
      <c r="E1275" t="s">
        <v>34</v>
      </c>
      <c r="F1275" t="str">
        <f>"0001590"</f>
        <v>0001590</v>
      </c>
      <c r="G1275">
        <v>1</v>
      </c>
      <c r="H1275" t="str">
        <f>"00000000"</f>
        <v>00000000</v>
      </c>
      <c r="I1275" t="s">
        <v>35</v>
      </c>
      <c r="J1275"/>
      <c r="K1275">
        <v>10.65</v>
      </c>
      <c r="L1275">
        <v>0.0</v>
      </c>
      <c r="M1275"/>
      <c r="N1275"/>
      <c r="O1275">
        <v>1.92</v>
      </c>
      <c r="P1275">
        <v>0.0</v>
      </c>
      <c r="Q1275">
        <v>12.57</v>
      </c>
      <c r="R1275"/>
      <c r="S1275"/>
      <c r="T1275"/>
      <c r="U1275"/>
      <c r="V1275"/>
      <c r="W1275">
        <v>18</v>
      </c>
    </row>
    <row r="1276" spans="1:23">
      <c r="A1276"/>
      <c r="B1276" t="s">
        <v>59</v>
      </c>
      <c r="C1276" t="s">
        <v>59</v>
      </c>
      <c r="D1276" t="s">
        <v>33</v>
      </c>
      <c r="E1276" t="s">
        <v>34</v>
      </c>
      <c r="F1276" t="str">
        <f>"0001591"</f>
        <v>0001591</v>
      </c>
      <c r="G1276">
        <v>1</v>
      </c>
      <c r="H1276" t="str">
        <f>"00000000"</f>
        <v>00000000</v>
      </c>
      <c r="I1276" t="s">
        <v>35</v>
      </c>
      <c r="J1276"/>
      <c r="K1276">
        <v>18.56</v>
      </c>
      <c r="L1276">
        <v>0.0</v>
      </c>
      <c r="M1276"/>
      <c r="N1276"/>
      <c r="O1276">
        <v>3.34</v>
      </c>
      <c r="P1276">
        <v>0.0</v>
      </c>
      <c r="Q1276">
        <v>21.9</v>
      </c>
      <c r="R1276"/>
      <c r="S1276"/>
      <c r="T1276"/>
      <c r="U1276"/>
      <c r="V1276"/>
      <c r="W1276">
        <v>18</v>
      </c>
    </row>
    <row r="1277" spans="1:23">
      <c r="A1277"/>
      <c r="B1277" t="s">
        <v>59</v>
      </c>
      <c r="C1277" t="s">
        <v>59</v>
      </c>
      <c r="D1277" t="s">
        <v>33</v>
      </c>
      <c r="E1277" t="s">
        <v>34</v>
      </c>
      <c r="F1277" t="str">
        <f>"0001592"</f>
        <v>0001592</v>
      </c>
      <c r="G1277">
        <v>1</v>
      </c>
      <c r="H1277" t="str">
        <f>"00000000"</f>
        <v>00000000</v>
      </c>
      <c r="I1277" t="s">
        <v>35</v>
      </c>
      <c r="J1277"/>
      <c r="K1277">
        <v>21.1</v>
      </c>
      <c r="L1277">
        <v>0.0</v>
      </c>
      <c r="M1277"/>
      <c r="N1277"/>
      <c r="O1277">
        <v>3.8</v>
      </c>
      <c r="P1277">
        <v>0.0</v>
      </c>
      <c r="Q1277">
        <v>24.9</v>
      </c>
      <c r="R1277"/>
      <c r="S1277"/>
      <c r="T1277"/>
      <c r="U1277"/>
      <c r="V1277"/>
      <c r="W1277">
        <v>18</v>
      </c>
    </row>
    <row r="1278" spans="1:23">
      <c r="A1278"/>
      <c r="B1278" t="s">
        <v>59</v>
      </c>
      <c r="C1278" t="s">
        <v>59</v>
      </c>
      <c r="D1278" t="s">
        <v>33</v>
      </c>
      <c r="E1278" t="s">
        <v>34</v>
      </c>
      <c r="F1278" t="str">
        <f>"0001593"</f>
        <v>0001593</v>
      </c>
      <c r="G1278">
        <v>1</v>
      </c>
      <c r="H1278" t="str">
        <f>"00000000"</f>
        <v>00000000</v>
      </c>
      <c r="I1278" t="s">
        <v>35</v>
      </c>
      <c r="J1278"/>
      <c r="K1278">
        <v>20.29</v>
      </c>
      <c r="L1278">
        <v>0.0</v>
      </c>
      <c r="M1278"/>
      <c r="N1278"/>
      <c r="O1278">
        <v>3.65</v>
      </c>
      <c r="P1278">
        <v>0.4</v>
      </c>
      <c r="Q1278">
        <v>24.35</v>
      </c>
      <c r="R1278"/>
      <c r="S1278"/>
      <c r="T1278"/>
      <c r="U1278"/>
      <c r="V1278"/>
      <c r="W1278">
        <v>18</v>
      </c>
    </row>
    <row r="1279" spans="1:23">
      <c r="A1279"/>
      <c r="B1279" t="s">
        <v>59</v>
      </c>
      <c r="C1279" t="s">
        <v>59</v>
      </c>
      <c r="D1279" t="s">
        <v>33</v>
      </c>
      <c r="E1279" t="s">
        <v>34</v>
      </c>
      <c r="F1279" t="str">
        <f>"0001594"</f>
        <v>0001594</v>
      </c>
      <c r="G1279">
        <v>1</v>
      </c>
      <c r="H1279" t="str">
        <f>"00000000"</f>
        <v>00000000</v>
      </c>
      <c r="I1279" t="s">
        <v>35</v>
      </c>
      <c r="J1279"/>
      <c r="K1279">
        <v>30.53</v>
      </c>
      <c r="L1279">
        <v>0.0</v>
      </c>
      <c r="M1279"/>
      <c r="N1279"/>
      <c r="O1279">
        <v>5.5</v>
      </c>
      <c r="P1279">
        <v>0.2</v>
      </c>
      <c r="Q1279">
        <v>36.23</v>
      </c>
      <c r="R1279"/>
      <c r="S1279"/>
      <c r="T1279"/>
      <c r="U1279"/>
      <c r="V1279"/>
      <c r="W1279">
        <v>18</v>
      </c>
    </row>
    <row r="1280" spans="1:23">
      <c r="A1280"/>
      <c r="B1280" t="s">
        <v>59</v>
      </c>
      <c r="C1280" t="s">
        <v>59</v>
      </c>
      <c r="D1280" t="s">
        <v>33</v>
      </c>
      <c r="E1280" t="s">
        <v>34</v>
      </c>
      <c r="F1280" t="str">
        <f>"0001595"</f>
        <v>0001595</v>
      </c>
      <c r="G1280">
        <v>1</v>
      </c>
      <c r="H1280" t="str">
        <f>"00000000"</f>
        <v>00000000</v>
      </c>
      <c r="I1280" t="s">
        <v>35</v>
      </c>
      <c r="J1280"/>
      <c r="K1280">
        <v>0.41</v>
      </c>
      <c r="L1280">
        <v>0.0</v>
      </c>
      <c r="M1280"/>
      <c r="N1280"/>
      <c r="O1280">
        <v>0.07</v>
      </c>
      <c r="P1280">
        <v>0.0</v>
      </c>
      <c r="Q1280">
        <v>0.48</v>
      </c>
      <c r="R1280"/>
      <c r="S1280"/>
      <c r="T1280"/>
      <c r="U1280"/>
      <c r="V1280"/>
      <c r="W1280">
        <v>18</v>
      </c>
    </row>
    <row r="1281" spans="1:23">
      <c r="A1281"/>
      <c r="B1281" t="s">
        <v>59</v>
      </c>
      <c r="C1281" t="s">
        <v>59</v>
      </c>
      <c r="D1281" t="s">
        <v>33</v>
      </c>
      <c r="E1281" t="s">
        <v>34</v>
      </c>
      <c r="F1281" t="str">
        <f>"0001596"</f>
        <v>0001596</v>
      </c>
      <c r="G1281">
        <v>1</v>
      </c>
      <c r="H1281" t="str">
        <f>"00000000"</f>
        <v>00000000</v>
      </c>
      <c r="I1281" t="s">
        <v>35</v>
      </c>
      <c r="J1281"/>
      <c r="K1281">
        <v>16.11</v>
      </c>
      <c r="L1281">
        <v>0.0</v>
      </c>
      <c r="M1281"/>
      <c r="N1281"/>
      <c r="O1281">
        <v>2.9</v>
      </c>
      <c r="P1281">
        <v>0.0</v>
      </c>
      <c r="Q1281">
        <v>19.01</v>
      </c>
      <c r="R1281"/>
      <c r="S1281"/>
      <c r="T1281"/>
      <c r="U1281"/>
      <c r="V1281"/>
      <c r="W1281">
        <v>18</v>
      </c>
    </row>
    <row r="1282" spans="1:23">
      <c r="A1282"/>
      <c r="B1282" t="s">
        <v>59</v>
      </c>
      <c r="C1282" t="s">
        <v>59</v>
      </c>
      <c r="D1282" t="s">
        <v>33</v>
      </c>
      <c r="E1282" t="s">
        <v>34</v>
      </c>
      <c r="F1282" t="str">
        <f>"0001597"</f>
        <v>0001597</v>
      </c>
      <c r="G1282">
        <v>1</v>
      </c>
      <c r="H1282" t="str">
        <f>"00000000"</f>
        <v>00000000</v>
      </c>
      <c r="I1282" t="s">
        <v>35</v>
      </c>
      <c r="J1282"/>
      <c r="K1282">
        <v>176.18</v>
      </c>
      <c r="L1282">
        <v>0.0</v>
      </c>
      <c r="M1282"/>
      <c r="N1282"/>
      <c r="O1282">
        <v>31.71</v>
      </c>
      <c r="P1282">
        <v>0.4</v>
      </c>
      <c r="Q1282">
        <v>208.29</v>
      </c>
      <c r="R1282"/>
      <c r="S1282"/>
      <c r="T1282"/>
      <c r="U1282"/>
      <c r="V1282"/>
      <c r="W1282">
        <v>18</v>
      </c>
    </row>
    <row r="1283" spans="1:23">
      <c r="A1283"/>
      <c r="B1283" t="s">
        <v>59</v>
      </c>
      <c r="C1283" t="s">
        <v>59</v>
      </c>
      <c r="D1283" t="s">
        <v>33</v>
      </c>
      <c r="E1283" t="s">
        <v>34</v>
      </c>
      <c r="F1283" t="str">
        <f>"0001598"</f>
        <v>0001598</v>
      </c>
      <c r="G1283">
        <v>1</v>
      </c>
      <c r="H1283" t="str">
        <f>"00000000"</f>
        <v>00000000</v>
      </c>
      <c r="I1283" t="s">
        <v>35</v>
      </c>
      <c r="J1283"/>
      <c r="K1283">
        <v>2.12</v>
      </c>
      <c r="L1283">
        <v>0.0</v>
      </c>
      <c r="M1283"/>
      <c r="N1283"/>
      <c r="O1283">
        <v>0.38</v>
      </c>
      <c r="P1283">
        <v>0.0</v>
      </c>
      <c r="Q1283">
        <v>2.5</v>
      </c>
      <c r="R1283"/>
      <c r="S1283"/>
      <c r="T1283"/>
      <c r="U1283"/>
      <c r="V1283"/>
      <c r="W1283">
        <v>18</v>
      </c>
    </row>
    <row r="1284" spans="1:23">
      <c r="A1284"/>
      <c r="B1284" t="s">
        <v>59</v>
      </c>
      <c r="C1284" t="s">
        <v>59</v>
      </c>
      <c r="D1284" t="s">
        <v>33</v>
      </c>
      <c r="E1284" t="s">
        <v>34</v>
      </c>
      <c r="F1284" t="str">
        <f>"0001599"</f>
        <v>0001599</v>
      </c>
      <c r="G1284">
        <v>1</v>
      </c>
      <c r="H1284" t="str">
        <f>"00000000"</f>
        <v>00000000</v>
      </c>
      <c r="I1284" t="s">
        <v>35</v>
      </c>
      <c r="J1284"/>
      <c r="K1284">
        <v>38.9</v>
      </c>
      <c r="L1284">
        <v>0.0</v>
      </c>
      <c r="M1284"/>
      <c r="N1284"/>
      <c r="O1284">
        <v>7.0</v>
      </c>
      <c r="P1284">
        <v>0.2</v>
      </c>
      <c r="Q1284">
        <v>46.1</v>
      </c>
      <c r="R1284"/>
      <c r="S1284"/>
      <c r="T1284"/>
      <c r="U1284"/>
      <c r="V1284"/>
      <c r="W1284">
        <v>18</v>
      </c>
    </row>
    <row r="1285" spans="1:23">
      <c r="A1285"/>
      <c r="B1285" t="s">
        <v>59</v>
      </c>
      <c r="C1285" t="s">
        <v>59</v>
      </c>
      <c r="D1285" t="s">
        <v>33</v>
      </c>
      <c r="E1285" t="s">
        <v>34</v>
      </c>
      <c r="F1285" t="str">
        <f>"0001600"</f>
        <v>0001600</v>
      </c>
      <c r="G1285">
        <v>1</v>
      </c>
      <c r="H1285" t="str">
        <f>"00000000"</f>
        <v>00000000</v>
      </c>
      <c r="I1285" t="s">
        <v>35</v>
      </c>
      <c r="J1285"/>
      <c r="K1285">
        <v>11.62</v>
      </c>
      <c r="L1285">
        <v>0.0</v>
      </c>
      <c r="M1285"/>
      <c r="N1285"/>
      <c r="O1285">
        <v>2.09</v>
      </c>
      <c r="P1285">
        <v>0.0</v>
      </c>
      <c r="Q1285">
        <v>13.72</v>
      </c>
      <c r="R1285"/>
      <c r="S1285"/>
      <c r="T1285"/>
      <c r="U1285"/>
      <c r="V1285"/>
      <c r="W1285">
        <v>18</v>
      </c>
    </row>
    <row r="1286" spans="1:23">
      <c r="A1286"/>
      <c r="B1286" t="s">
        <v>59</v>
      </c>
      <c r="C1286" t="s">
        <v>59</v>
      </c>
      <c r="D1286" t="s">
        <v>33</v>
      </c>
      <c r="E1286" t="s">
        <v>34</v>
      </c>
      <c r="F1286" t="str">
        <f>"0001601"</f>
        <v>0001601</v>
      </c>
      <c r="G1286">
        <v>1</v>
      </c>
      <c r="H1286" t="str">
        <f>"00000000"</f>
        <v>00000000</v>
      </c>
      <c r="I1286" t="s">
        <v>35</v>
      </c>
      <c r="J1286"/>
      <c r="K1286">
        <v>29.88</v>
      </c>
      <c r="L1286">
        <v>0.0</v>
      </c>
      <c r="M1286"/>
      <c r="N1286"/>
      <c r="O1286">
        <v>5.38</v>
      </c>
      <c r="P1286">
        <v>0.4</v>
      </c>
      <c r="Q1286">
        <v>35.66</v>
      </c>
      <c r="R1286"/>
      <c r="S1286"/>
      <c r="T1286"/>
      <c r="U1286"/>
      <c r="V1286"/>
      <c r="W1286">
        <v>18</v>
      </c>
    </row>
    <row r="1287" spans="1:23">
      <c r="A1287"/>
      <c r="B1287" t="s">
        <v>59</v>
      </c>
      <c r="C1287" t="s">
        <v>59</v>
      </c>
      <c r="D1287" t="s">
        <v>33</v>
      </c>
      <c r="E1287" t="s">
        <v>34</v>
      </c>
      <c r="F1287" t="str">
        <f>"0001602"</f>
        <v>0001602</v>
      </c>
      <c r="G1287">
        <v>1</v>
      </c>
      <c r="H1287" t="str">
        <f>"00000000"</f>
        <v>00000000</v>
      </c>
      <c r="I1287" t="s">
        <v>35</v>
      </c>
      <c r="J1287"/>
      <c r="K1287">
        <v>9.77</v>
      </c>
      <c r="L1287">
        <v>0.0</v>
      </c>
      <c r="M1287"/>
      <c r="N1287"/>
      <c r="O1287">
        <v>1.76</v>
      </c>
      <c r="P1287">
        <v>0.2</v>
      </c>
      <c r="Q1287">
        <v>11.73</v>
      </c>
      <c r="R1287"/>
      <c r="S1287"/>
      <c r="T1287"/>
      <c r="U1287"/>
      <c r="V1287"/>
      <c r="W1287">
        <v>18</v>
      </c>
    </row>
    <row r="1288" spans="1:23">
      <c r="A1288"/>
      <c r="B1288" t="s">
        <v>59</v>
      </c>
      <c r="C1288" t="s">
        <v>59</v>
      </c>
      <c r="D1288" t="s">
        <v>33</v>
      </c>
      <c r="E1288" t="s">
        <v>34</v>
      </c>
      <c r="F1288" t="str">
        <f>"0001603"</f>
        <v>0001603</v>
      </c>
      <c r="G1288">
        <v>1</v>
      </c>
      <c r="H1288" t="str">
        <f>"00000000"</f>
        <v>00000000</v>
      </c>
      <c r="I1288" t="s">
        <v>35</v>
      </c>
      <c r="J1288"/>
      <c r="K1288">
        <v>5.71</v>
      </c>
      <c r="L1288">
        <v>0.0</v>
      </c>
      <c r="M1288"/>
      <c r="N1288"/>
      <c r="O1288">
        <v>1.03</v>
      </c>
      <c r="P1288">
        <v>0.2</v>
      </c>
      <c r="Q1288">
        <v>6.94</v>
      </c>
      <c r="R1288"/>
      <c r="S1288"/>
      <c r="T1288"/>
      <c r="U1288"/>
      <c r="V1288"/>
      <c r="W1288">
        <v>18</v>
      </c>
    </row>
    <row r="1289" spans="1:23">
      <c r="A1289"/>
      <c r="B1289" t="s">
        <v>59</v>
      </c>
      <c r="C1289" t="s">
        <v>59</v>
      </c>
      <c r="D1289" t="s">
        <v>33</v>
      </c>
      <c r="E1289" t="s">
        <v>34</v>
      </c>
      <c r="F1289" t="str">
        <f>"0001604"</f>
        <v>0001604</v>
      </c>
      <c r="G1289">
        <v>1</v>
      </c>
      <c r="H1289" t="str">
        <f>"00000000"</f>
        <v>00000000</v>
      </c>
      <c r="I1289" t="s">
        <v>35</v>
      </c>
      <c r="J1289"/>
      <c r="K1289">
        <v>16.13</v>
      </c>
      <c r="L1289">
        <v>0.0</v>
      </c>
      <c r="M1289"/>
      <c r="N1289"/>
      <c r="O1289">
        <v>2.9</v>
      </c>
      <c r="P1289">
        <v>0.2</v>
      </c>
      <c r="Q1289">
        <v>19.23</v>
      </c>
      <c r="R1289"/>
      <c r="S1289"/>
      <c r="T1289"/>
      <c r="U1289"/>
      <c r="V1289"/>
      <c r="W1289">
        <v>18</v>
      </c>
    </row>
    <row r="1290" spans="1:23">
      <c r="A1290"/>
      <c r="B1290" t="s">
        <v>59</v>
      </c>
      <c r="C1290" t="s">
        <v>59</v>
      </c>
      <c r="D1290" t="s">
        <v>33</v>
      </c>
      <c r="E1290" t="s">
        <v>34</v>
      </c>
      <c r="F1290" t="str">
        <f>"0001605"</f>
        <v>0001605</v>
      </c>
      <c r="G1290">
        <v>1</v>
      </c>
      <c r="H1290" t="str">
        <f>"00000000"</f>
        <v>00000000</v>
      </c>
      <c r="I1290" t="s">
        <v>35</v>
      </c>
      <c r="J1290"/>
      <c r="K1290">
        <v>2.12</v>
      </c>
      <c r="L1290">
        <v>0.0</v>
      </c>
      <c r="M1290"/>
      <c r="N1290"/>
      <c r="O1290">
        <v>0.38</v>
      </c>
      <c r="P1290">
        <v>0.0</v>
      </c>
      <c r="Q1290">
        <v>2.5</v>
      </c>
      <c r="R1290"/>
      <c r="S1290"/>
      <c r="T1290"/>
      <c r="U1290"/>
      <c r="V1290"/>
      <c r="W1290">
        <v>18</v>
      </c>
    </row>
    <row r="1291" spans="1:23">
      <c r="A1291"/>
      <c r="B1291" t="s">
        <v>59</v>
      </c>
      <c r="C1291" t="s">
        <v>59</v>
      </c>
      <c r="D1291" t="s">
        <v>33</v>
      </c>
      <c r="E1291" t="s">
        <v>34</v>
      </c>
      <c r="F1291" t="str">
        <f>"0001606"</f>
        <v>0001606</v>
      </c>
      <c r="G1291">
        <v>1</v>
      </c>
      <c r="H1291" t="str">
        <f>"00000000"</f>
        <v>00000000</v>
      </c>
      <c r="I1291" t="s">
        <v>35</v>
      </c>
      <c r="J1291"/>
      <c r="K1291">
        <v>3.81</v>
      </c>
      <c r="L1291">
        <v>0.0</v>
      </c>
      <c r="M1291"/>
      <c r="N1291"/>
      <c r="O1291">
        <v>0.69</v>
      </c>
      <c r="P1291">
        <v>0.0</v>
      </c>
      <c r="Q1291">
        <v>4.5</v>
      </c>
      <c r="R1291"/>
      <c r="S1291"/>
      <c r="T1291"/>
      <c r="U1291"/>
      <c r="V1291"/>
      <c r="W1291">
        <v>18</v>
      </c>
    </row>
    <row r="1292" spans="1:23">
      <c r="A1292"/>
      <c r="B1292" t="s">
        <v>59</v>
      </c>
      <c r="C1292" t="s">
        <v>59</v>
      </c>
      <c r="D1292" t="s">
        <v>33</v>
      </c>
      <c r="E1292" t="s">
        <v>34</v>
      </c>
      <c r="F1292" t="str">
        <f>"0001607"</f>
        <v>0001607</v>
      </c>
      <c r="G1292">
        <v>1</v>
      </c>
      <c r="H1292" t="str">
        <f>"00000000"</f>
        <v>00000000</v>
      </c>
      <c r="I1292" t="s">
        <v>35</v>
      </c>
      <c r="J1292"/>
      <c r="K1292">
        <v>12.8</v>
      </c>
      <c r="L1292">
        <v>0.0</v>
      </c>
      <c r="M1292"/>
      <c r="N1292"/>
      <c r="O1292">
        <v>2.3</v>
      </c>
      <c r="P1292">
        <v>0.0</v>
      </c>
      <c r="Q1292">
        <v>15.1</v>
      </c>
      <c r="R1292"/>
      <c r="S1292"/>
      <c r="T1292"/>
      <c r="U1292"/>
      <c r="V1292"/>
      <c r="W1292">
        <v>18</v>
      </c>
    </row>
    <row r="1293" spans="1:23">
      <c r="A1293"/>
      <c r="B1293" t="s">
        <v>59</v>
      </c>
      <c r="C1293" t="s">
        <v>59</v>
      </c>
      <c r="D1293" t="s">
        <v>33</v>
      </c>
      <c r="E1293" t="s">
        <v>34</v>
      </c>
      <c r="F1293" t="str">
        <f>"0001608"</f>
        <v>0001608</v>
      </c>
      <c r="G1293">
        <v>1</v>
      </c>
      <c r="H1293" t="str">
        <f>"00000000"</f>
        <v>00000000</v>
      </c>
      <c r="I1293" t="s">
        <v>35</v>
      </c>
      <c r="J1293"/>
      <c r="K1293">
        <v>1.1</v>
      </c>
      <c r="L1293">
        <v>0.0</v>
      </c>
      <c r="M1293"/>
      <c r="N1293"/>
      <c r="O1293">
        <v>0.2</v>
      </c>
      <c r="P1293">
        <v>0.0</v>
      </c>
      <c r="Q1293">
        <v>1.3</v>
      </c>
      <c r="R1293"/>
      <c r="S1293"/>
      <c r="T1293"/>
      <c r="U1293"/>
      <c r="V1293"/>
      <c r="W1293">
        <v>18</v>
      </c>
    </row>
    <row r="1294" spans="1:23">
      <c r="A1294"/>
      <c r="B1294" t="s">
        <v>59</v>
      </c>
      <c r="C1294" t="s">
        <v>59</v>
      </c>
      <c r="D1294" t="s">
        <v>33</v>
      </c>
      <c r="E1294" t="s">
        <v>34</v>
      </c>
      <c r="F1294" t="str">
        <f>"0001609"</f>
        <v>0001609</v>
      </c>
      <c r="G1294">
        <v>1</v>
      </c>
      <c r="H1294" t="str">
        <f>"00000000"</f>
        <v>00000000</v>
      </c>
      <c r="I1294" t="s">
        <v>35</v>
      </c>
      <c r="J1294"/>
      <c r="K1294">
        <v>46.39</v>
      </c>
      <c r="L1294">
        <v>0.0</v>
      </c>
      <c r="M1294"/>
      <c r="N1294"/>
      <c r="O1294">
        <v>8.35</v>
      </c>
      <c r="P1294">
        <v>0.4</v>
      </c>
      <c r="Q1294">
        <v>55.14</v>
      </c>
      <c r="R1294"/>
      <c r="S1294"/>
      <c r="T1294"/>
      <c r="U1294"/>
      <c r="V1294"/>
      <c r="W1294">
        <v>18</v>
      </c>
    </row>
    <row r="1295" spans="1:23">
      <c r="A1295"/>
      <c r="B1295" t="s">
        <v>59</v>
      </c>
      <c r="C1295" t="s">
        <v>59</v>
      </c>
      <c r="D1295" t="s">
        <v>33</v>
      </c>
      <c r="E1295" t="s">
        <v>34</v>
      </c>
      <c r="F1295" t="str">
        <f>"0001610"</f>
        <v>0001610</v>
      </c>
      <c r="G1295">
        <v>1</v>
      </c>
      <c r="H1295" t="str">
        <f>"00000000"</f>
        <v>00000000</v>
      </c>
      <c r="I1295" t="s">
        <v>35</v>
      </c>
      <c r="J1295"/>
      <c r="K1295">
        <v>2.97</v>
      </c>
      <c r="L1295">
        <v>0.0</v>
      </c>
      <c r="M1295"/>
      <c r="N1295"/>
      <c r="O1295">
        <v>0.53</v>
      </c>
      <c r="P1295">
        <v>0.0</v>
      </c>
      <c r="Q1295">
        <v>3.5</v>
      </c>
      <c r="R1295"/>
      <c r="S1295"/>
      <c r="T1295"/>
      <c r="U1295"/>
      <c r="V1295"/>
      <c r="W1295">
        <v>18</v>
      </c>
    </row>
    <row r="1296" spans="1:23">
      <c r="A1296"/>
      <c r="B1296" t="s">
        <v>59</v>
      </c>
      <c r="C1296" t="s">
        <v>59</v>
      </c>
      <c r="D1296" t="s">
        <v>33</v>
      </c>
      <c r="E1296" t="s">
        <v>34</v>
      </c>
      <c r="F1296" t="str">
        <f>"0001611"</f>
        <v>0001611</v>
      </c>
      <c r="G1296">
        <v>1</v>
      </c>
      <c r="H1296" t="str">
        <f>"00000000"</f>
        <v>00000000</v>
      </c>
      <c r="I1296" t="s">
        <v>35</v>
      </c>
      <c r="J1296"/>
      <c r="K1296">
        <v>72.88</v>
      </c>
      <c r="L1296">
        <v>0.0</v>
      </c>
      <c r="M1296"/>
      <c r="N1296"/>
      <c r="O1296">
        <v>13.12</v>
      </c>
      <c r="P1296">
        <v>0.0</v>
      </c>
      <c r="Q1296">
        <v>86.0</v>
      </c>
      <c r="R1296"/>
      <c r="S1296"/>
      <c r="T1296"/>
      <c r="U1296"/>
      <c r="V1296"/>
      <c r="W1296">
        <v>18</v>
      </c>
    </row>
    <row r="1297" spans="1:23">
      <c r="A1297"/>
      <c r="B1297" t="s">
        <v>59</v>
      </c>
      <c r="C1297" t="s">
        <v>59</v>
      </c>
      <c r="D1297" t="s">
        <v>33</v>
      </c>
      <c r="E1297" t="s">
        <v>34</v>
      </c>
      <c r="F1297" t="str">
        <f>"0001612"</f>
        <v>0001612</v>
      </c>
      <c r="G1297">
        <v>1</v>
      </c>
      <c r="H1297" t="str">
        <f>"00000000"</f>
        <v>00000000</v>
      </c>
      <c r="I1297" t="s">
        <v>35</v>
      </c>
      <c r="J1297"/>
      <c r="K1297">
        <v>18.98</v>
      </c>
      <c r="L1297">
        <v>0.0</v>
      </c>
      <c r="M1297"/>
      <c r="N1297"/>
      <c r="O1297">
        <v>3.42</v>
      </c>
      <c r="P1297">
        <v>0.2</v>
      </c>
      <c r="Q1297">
        <v>22.6</v>
      </c>
      <c r="R1297"/>
      <c r="S1297"/>
      <c r="T1297"/>
      <c r="U1297"/>
      <c r="V1297"/>
      <c r="W1297">
        <v>18</v>
      </c>
    </row>
    <row r="1298" spans="1:23">
      <c r="A1298"/>
      <c r="B1298" t="s">
        <v>59</v>
      </c>
      <c r="C1298" t="s">
        <v>59</v>
      </c>
      <c r="D1298" t="s">
        <v>33</v>
      </c>
      <c r="E1298" t="s">
        <v>34</v>
      </c>
      <c r="F1298" t="str">
        <f>"0001613"</f>
        <v>0001613</v>
      </c>
      <c r="G1298">
        <v>1</v>
      </c>
      <c r="H1298" t="str">
        <f>"00000000"</f>
        <v>00000000</v>
      </c>
      <c r="I1298" t="s">
        <v>35</v>
      </c>
      <c r="J1298"/>
      <c r="K1298">
        <v>45.7</v>
      </c>
      <c r="L1298">
        <v>0.0</v>
      </c>
      <c r="M1298"/>
      <c r="N1298"/>
      <c r="O1298">
        <v>8.23</v>
      </c>
      <c r="P1298">
        <v>0.4</v>
      </c>
      <c r="Q1298">
        <v>54.33</v>
      </c>
      <c r="R1298"/>
      <c r="S1298"/>
      <c r="T1298"/>
      <c r="U1298"/>
      <c r="V1298"/>
      <c r="W1298">
        <v>18</v>
      </c>
    </row>
    <row r="1299" spans="1:23">
      <c r="A1299"/>
      <c r="B1299" t="s">
        <v>59</v>
      </c>
      <c r="C1299" t="s">
        <v>59</v>
      </c>
      <c r="D1299" t="s">
        <v>33</v>
      </c>
      <c r="E1299" t="s">
        <v>34</v>
      </c>
      <c r="F1299" t="str">
        <f>"0001614"</f>
        <v>0001614</v>
      </c>
      <c r="G1299">
        <v>1</v>
      </c>
      <c r="H1299" t="str">
        <f>"00000000"</f>
        <v>00000000</v>
      </c>
      <c r="I1299" t="s">
        <v>35</v>
      </c>
      <c r="J1299"/>
      <c r="K1299">
        <v>73.31</v>
      </c>
      <c r="L1299">
        <v>0.0</v>
      </c>
      <c r="M1299"/>
      <c r="N1299"/>
      <c r="O1299">
        <v>13.19</v>
      </c>
      <c r="P1299">
        <v>0.0</v>
      </c>
      <c r="Q1299">
        <v>86.5</v>
      </c>
      <c r="R1299"/>
      <c r="S1299"/>
      <c r="T1299"/>
      <c r="U1299"/>
      <c r="V1299"/>
      <c r="W1299">
        <v>18</v>
      </c>
    </row>
    <row r="1300" spans="1:23">
      <c r="A1300"/>
      <c r="B1300" t="s">
        <v>59</v>
      </c>
      <c r="C1300" t="s">
        <v>59</v>
      </c>
      <c r="D1300" t="s">
        <v>33</v>
      </c>
      <c r="E1300" t="s">
        <v>34</v>
      </c>
      <c r="F1300" t="str">
        <f>"0001615"</f>
        <v>0001615</v>
      </c>
      <c r="G1300">
        <v>1</v>
      </c>
      <c r="H1300" t="str">
        <f>"00000000"</f>
        <v>00000000</v>
      </c>
      <c r="I1300" t="s">
        <v>35</v>
      </c>
      <c r="J1300"/>
      <c r="K1300">
        <v>11.94</v>
      </c>
      <c r="L1300">
        <v>0.0</v>
      </c>
      <c r="M1300"/>
      <c r="N1300"/>
      <c r="O1300">
        <v>2.15</v>
      </c>
      <c r="P1300">
        <v>0.2</v>
      </c>
      <c r="Q1300">
        <v>14.29</v>
      </c>
      <c r="R1300"/>
      <c r="S1300"/>
      <c r="T1300"/>
      <c r="U1300"/>
      <c r="V1300"/>
      <c r="W1300">
        <v>18</v>
      </c>
    </row>
    <row r="1301" spans="1:23">
      <c r="A1301"/>
      <c r="B1301" t="s">
        <v>59</v>
      </c>
      <c r="C1301" t="s">
        <v>59</v>
      </c>
      <c r="D1301" t="s">
        <v>33</v>
      </c>
      <c r="E1301" t="s">
        <v>34</v>
      </c>
      <c r="F1301" t="str">
        <f>"0001616"</f>
        <v>0001616</v>
      </c>
      <c r="G1301">
        <v>1</v>
      </c>
      <c r="H1301" t="str">
        <f>"00000000"</f>
        <v>00000000</v>
      </c>
      <c r="I1301" t="s">
        <v>35</v>
      </c>
      <c r="J1301"/>
      <c r="K1301">
        <v>6.36</v>
      </c>
      <c r="L1301">
        <v>0.0</v>
      </c>
      <c r="M1301"/>
      <c r="N1301"/>
      <c r="O1301">
        <v>1.14</v>
      </c>
      <c r="P1301">
        <v>0.0</v>
      </c>
      <c r="Q1301">
        <v>7.5</v>
      </c>
      <c r="R1301"/>
      <c r="S1301"/>
      <c r="T1301"/>
      <c r="U1301"/>
      <c r="V1301"/>
      <c r="W1301">
        <v>18</v>
      </c>
    </row>
    <row r="1302" spans="1:23">
      <c r="A1302"/>
      <c r="B1302" t="s">
        <v>59</v>
      </c>
      <c r="C1302" t="s">
        <v>59</v>
      </c>
      <c r="D1302" t="s">
        <v>33</v>
      </c>
      <c r="E1302" t="s">
        <v>34</v>
      </c>
      <c r="F1302" t="str">
        <f>"0001617"</f>
        <v>0001617</v>
      </c>
      <c r="G1302">
        <v>1</v>
      </c>
      <c r="H1302" t="str">
        <f>"00000000"</f>
        <v>00000000</v>
      </c>
      <c r="I1302" t="s">
        <v>35</v>
      </c>
      <c r="J1302"/>
      <c r="K1302">
        <v>5.32</v>
      </c>
      <c r="L1302">
        <v>0.0</v>
      </c>
      <c r="M1302"/>
      <c r="N1302"/>
      <c r="O1302">
        <v>0.96</v>
      </c>
      <c r="P1302">
        <v>0.0</v>
      </c>
      <c r="Q1302">
        <v>6.27</v>
      </c>
      <c r="R1302"/>
      <c r="S1302"/>
      <c r="T1302"/>
      <c r="U1302"/>
      <c r="V1302"/>
      <c r="W1302">
        <v>18</v>
      </c>
    </row>
    <row r="1303" spans="1:23">
      <c r="A1303"/>
      <c r="B1303" t="s">
        <v>59</v>
      </c>
      <c r="C1303" t="s">
        <v>59</v>
      </c>
      <c r="D1303" t="s">
        <v>33</v>
      </c>
      <c r="E1303" t="s">
        <v>34</v>
      </c>
      <c r="F1303" t="str">
        <f>"0001618"</f>
        <v>0001618</v>
      </c>
      <c r="G1303">
        <v>1</v>
      </c>
      <c r="H1303" t="str">
        <f>"00000000"</f>
        <v>00000000</v>
      </c>
      <c r="I1303" t="s">
        <v>35</v>
      </c>
      <c r="J1303"/>
      <c r="K1303">
        <v>33.14</v>
      </c>
      <c r="L1303">
        <v>0.0</v>
      </c>
      <c r="M1303"/>
      <c r="N1303"/>
      <c r="O1303">
        <v>5.96</v>
      </c>
      <c r="P1303">
        <v>0.0</v>
      </c>
      <c r="Q1303">
        <v>39.1</v>
      </c>
      <c r="R1303"/>
      <c r="S1303"/>
      <c r="T1303"/>
      <c r="U1303"/>
      <c r="V1303"/>
      <c r="W1303">
        <v>18</v>
      </c>
    </row>
    <row r="1304" spans="1:23">
      <c r="A1304"/>
      <c r="B1304" t="s">
        <v>59</v>
      </c>
      <c r="C1304" t="s">
        <v>59</v>
      </c>
      <c r="D1304" t="s">
        <v>33</v>
      </c>
      <c r="E1304" t="s">
        <v>34</v>
      </c>
      <c r="F1304" t="str">
        <f>"0001619"</f>
        <v>0001619</v>
      </c>
      <c r="G1304">
        <v>1</v>
      </c>
      <c r="H1304" t="str">
        <f>"00000000"</f>
        <v>00000000</v>
      </c>
      <c r="I1304" t="s">
        <v>35</v>
      </c>
      <c r="J1304"/>
      <c r="K1304">
        <v>5.17</v>
      </c>
      <c r="L1304">
        <v>0.0</v>
      </c>
      <c r="M1304"/>
      <c r="N1304"/>
      <c r="O1304">
        <v>0.93</v>
      </c>
      <c r="P1304">
        <v>0.2</v>
      </c>
      <c r="Q1304">
        <v>6.3</v>
      </c>
      <c r="R1304"/>
      <c r="S1304"/>
      <c r="T1304"/>
      <c r="U1304"/>
      <c r="V1304"/>
      <c r="W1304">
        <v>18</v>
      </c>
    </row>
    <row r="1305" spans="1:23">
      <c r="A1305"/>
      <c r="B1305" t="s">
        <v>59</v>
      </c>
      <c r="C1305" t="s">
        <v>59</v>
      </c>
      <c r="D1305" t="s">
        <v>33</v>
      </c>
      <c r="E1305" t="s">
        <v>34</v>
      </c>
      <c r="F1305" t="str">
        <f>"0001620"</f>
        <v>0001620</v>
      </c>
      <c r="G1305">
        <v>1</v>
      </c>
      <c r="H1305" t="str">
        <f>"00000000"</f>
        <v>00000000</v>
      </c>
      <c r="I1305" t="s">
        <v>35</v>
      </c>
      <c r="J1305"/>
      <c r="K1305">
        <v>34.75</v>
      </c>
      <c r="L1305">
        <v>0.0</v>
      </c>
      <c r="M1305"/>
      <c r="N1305"/>
      <c r="O1305">
        <v>6.25</v>
      </c>
      <c r="P1305">
        <v>0.2</v>
      </c>
      <c r="Q1305">
        <v>41.2</v>
      </c>
      <c r="R1305"/>
      <c r="S1305"/>
      <c r="T1305"/>
      <c r="U1305"/>
      <c r="V1305"/>
      <c r="W1305">
        <v>18</v>
      </c>
    </row>
    <row r="1306" spans="1:23">
      <c r="A1306"/>
      <c r="B1306" t="s">
        <v>59</v>
      </c>
      <c r="C1306" t="s">
        <v>59</v>
      </c>
      <c r="D1306" t="s">
        <v>36</v>
      </c>
      <c r="E1306" t="s">
        <v>37</v>
      </c>
      <c r="F1306" t="str">
        <f>"0000030"</f>
        <v>0000030</v>
      </c>
      <c r="G1306">
        <v>6</v>
      </c>
      <c r="H1306" t="str">
        <f>"20601311322"</f>
        <v>20601311322</v>
      </c>
      <c r="I1306" t="s">
        <v>60</v>
      </c>
      <c r="J1306"/>
      <c r="K1306">
        <v>6.86</v>
      </c>
      <c r="L1306">
        <v>0.0</v>
      </c>
      <c r="M1306"/>
      <c r="N1306"/>
      <c r="O1306">
        <v>1.24</v>
      </c>
      <c r="P1306">
        <v>0.2</v>
      </c>
      <c r="Q1306">
        <v>8.3</v>
      </c>
      <c r="R1306"/>
      <c r="S1306"/>
      <c r="T1306"/>
      <c r="U1306"/>
      <c r="V1306"/>
      <c r="W1306">
        <v>18</v>
      </c>
    </row>
    <row r="1307" spans="1:23">
      <c r="A1307"/>
      <c r="B1307" t="s">
        <v>59</v>
      </c>
      <c r="C1307" t="s">
        <v>59</v>
      </c>
      <c r="D1307" t="s">
        <v>33</v>
      </c>
      <c r="E1307" t="s">
        <v>34</v>
      </c>
      <c r="F1307" t="str">
        <f>"0001621"</f>
        <v>0001621</v>
      </c>
      <c r="G1307">
        <v>1</v>
      </c>
      <c r="H1307" t="str">
        <f>"00000000"</f>
        <v>00000000</v>
      </c>
      <c r="I1307" t="s">
        <v>35</v>
      </c>
      <c r="J1307"/>
      <c r="K1307">
        <v>5.93</v>
      </c>
      <c r="L1307">
        <v>0.0</v>
      </c>
      <c r="M1307"/>
      <c r="N1307"/>
      <c r="O1307">
        <v>1.07</v>
      </c>
      <c r="P1307">
        <v>0.0</v>
      </c>
      <c r="Q1307">
        <v>7.0</v>
      </c>
      <c r="R1307"/>
      <c r="S1307"/>
      <c r="T1307"/>
      <c r="U1307"/>
      <c r="V1307"/>
      <c r="W1307">
        <v>18</v>
      </c>
    </row>
    <row r="1308" spans="1:23">
      <c r="A1308"/>
      <c r="B1308" t="s">
        <v>59</v>
      </c>
      <c r="C1308" t="s">
        <v>59</v>
      </c>
      <c r="D1308" t="s">
        <v>33</v>
      </c>
      <c r="E1308" t="s">
        <v>34</v>
      </c>
      <c r="F1308" t="str">
        <f>"0001622"</f>
        <v>0001622</v>
      </c>
      <c r="G1308">
        <v>1</v>
      </c>
      <c r="H1308" t="str">
        <f>"00000000"</f>
        <v>00000000</v>
      </c>
      <c r="I1308" t="s">
        <v>35</v>
      </c>
      <c r="J1308"/>
      <c r="K1308">
        <v>16.79</v>
      </c>
      <c r="L1308">
        <v>0.0</v>
      </c>
      <c r="M1308"/>
      <c r="N1308"/>
      <c r="O1308">
        <v>3.02</v>
      </c>
      <c r="P1308">
        <v>0.0</v>
      </c>
      <c r="Q1308">
        <v>19.81</v>
      </c>
      <c r="R1308"/>
      <c r="S1308"/>
      <c r="T1308"/>
      <c r="U1308"/>
      <c r="V1308"/>
      <c r="W1308">
        <v>18</v>
      </c>
    </row>
    <row r="1309" spans="1:23">
      <c r="A1309"/>
      <c r="B1309" t="s">
        <v>59</v>
      </c>
      <c r="C1309" t="s">
        <v>59</v>
      </c>
      <c r="D1309" t="s">
        <v>33</v>
      </c>
      <c r="E1309" t="s">
        <v>34</v>
      </c>
      <c r="F1309" t="str">
        <f>"0001623"</f>
        <v>0001623</v>
      </c>
      <c r="G1309">
        <v>1</v>
      </c>
      <c r="H1309" t="str">
        <f>"00000000"</f>
        <v>00000000</v>
      </c>
      <c r="I1309" t="s">
        <v>35</v>
      </c>
      <c r="J1309"/>
      <c r="K1309">
        <v>21.51</v>
      </c>
      <c r="L1309">
        <v>0.0</v>
      </c>
      <c r="M1309"/>
      <c r="N1309"/>
      <c r="O1309">
        <v>3.87</v>
      </c>
      <c r="P1309">
        <v>0.0</v>
      </c>
      <c r="Q1309">
        <v>25.39</v>
      </c>
      <c r="R1309"/>
      <c r="S1309"/>
      <c r="T1309"/>
      <c r="U1309"/>
      <c r="V1309"/>
      <c r="W1309">
        <v>18</v>
      </c>
    </row>
    <row r="1310" spans="1:23">
      <c r="A1310"/>
      <c r="B1310" t="s">
        <v>59</v>
      </c>
      <c r="C1310" t="s">
        <v>59</v>
      </c>
      <c r="D1310" t="s">
        <v>33</v>
      </c>
      <c r="E1310" t="s">
        <v>34</v>
      </c>
      <c r="F1310" t="str">
        <f>"0001624"</f>
        <v>0001624</v>
      </c>
      <c r="G1310">
        <v>1</v>
      </c>
      <c r="H1310" t="str">
        <f>"00000000"</f>
        <v>00000000</v>
      </c>
      <c r="I1310" t="s">
        <v>35</v>
      </c>
      <c r="J1310"/>
      <c r="K1310">
        <v>95.36</v>
      </c>
      <c r="L1310">
        <v>0.0</v>
      </c>
      <c r="M1310"/>
      <c r="N1310"/>
      <c r="O1310">
        <v>17.16</v>
      </c>
      <c r="P1310">
        <v>0.0</v>
      </c>
      <c r="Q1310">
        <v>112.52</v>
      </c>
      <c r="R1310"/>
      <c r="S1310"/>
      <c r="T1310"/>
      <c r="U1310"/>
      <c r="V1310"/>
      <c r="W1310">
        <v>18</v>
      </c>
    </row>
    <row r="1311" spans="1:23">
      <c r="A1311"/>
      <c r="B1311" t="s">
        <v>59</v>
      </c>
      <c r="C1311" t="s">
        <v>59</v>
      </c>
      <c r="D1311" t="s">
        <v>33</v>
      </c>
      <c r="E1311" t="s">
        <v>34</v>
      </c>
      <c r="F1311" t="str">
        <f>"0001625"</f>
        <v>0001625</v>
      </c>
      <c r="G1311">
        <v>1</v>
      </c>
      <c r="H1311" t="str">
        <f>"00000000"</f>
        <v>00000000</v>
      </c>
      <c r="I1311" t="s">
        <v>35</v>
      </c>
      <c r="J1311"/>
      <c r="K1311">
        <v>2.54</v>
      </c>
      <c r="L1311">
        <v>0.0</v>
      </c>
      <c r="M1311"/>
      <c r="N1311"/>
      <c r="O1311">
        <v>0.46</v>
      </c>
      <c r="P1311">
        <v>0.0</v>
      </c>
      <c r="Q1311">
        <v>3.0</v>
      </c>
      <c r="R1311"/>
      <c r="S1311"/>
      <c r="T1311"/>
      <c r="U1311"/>
      <c r="V1311"/>
      <c r="W1311">
        <v>18</v>
      </c>
    </row>
    <row r="1312" spans="1:23">
      <c r="A1312"/>
      <c r="B1312" t="s">
        <v>59</v>
      </c>
      <c r="C1312" t="s">
        <v>59</v>
      </c>
      <c r="D1312" t="s">
        <v>33</v>
      </c>
      <c r="E1312" t="s">
        <v>34</v>
      </c>
      <c r="F1312" t="str">
        <f>"0001626"</f>
        <v>0001626</v>
      </c>
      <c r="G1312">
        <v>1</v>
      </c>
      <c r="H1312" t="str">
        <f>"00000000"</f>
        <v>00000000</v>
      </c>
      <c r="I1312" t="s">
        <v>35</v>
      </c>
      <c r="J1312"/>
      <c r="K1312">
        <v>3.05</v>
      </c>
      <c r="L1312">
        <v>0.0</v>
      </c>
      <c r="M1312"/>
      <c r="N1312"/>
      <c r="O1312">
        <v>0.55</v>
      </c>
      <c r="P1312">
        <v>0.0</v>
      </c>
      <c r="Q1312">
        <v>3.6</v>
      </c>
      <c r="R1312"/>
      <c r="S1312"/>
      <c r="T1312"/>
      <c r="U1312"/>
      <c r="V1312"/>
      <c r="W1312">
        <v>18</v>
      </c>
    </row>
    <row r="1313" spans="1:23">
      <c r="A1313"/>
      <c r="B1313" t="s">
        <v>59</v>
      </c>
      <c r="C1313" t="s">
        <v>59</v>
      </c>
      <c r="D1313" t="s">
        <v>33</v>
      </c>
      <c r="E1313" t="s">
        <v>34</v>
      </c>
      <c r="F1313" t="str">
        <f>"0001627"</f>
        <v>0001627</v>
      </c>
      <c r="G1313">
        <v>1</v>
      </c>
      <c r="H1313" t="str">
        <f>"00000000"</f>
        <v>00000000</v>
      </c>
      <c r="I1313" t="s">
        <v>35</v>
      </c>
      <c r="J1313"/>
      <c r="K1313">
        <v>50.07</v>
      </c>
      <c r="L1313">
        <v>0.0</v>
      </c>
      <c r="M1313"/>
      <c r="N1313"/>
      <c r="O1313">
        <v>9.01</v>
      </c>
      <c r="P1313">
        <v>0.2</v>
      </c>
      <c r="Q1313">
        <v>59.28</v>
      </c>
      <c r="R1313"/>
      <c r="S1313"/>
      <c r="T1313"/>
      <c r="U1313"/>
      <c r="V1313"/>
      <c r="W1313">
        <v>18</v>
      </c>
    </row>
    <row r="1314" spans="1:23">
      <c r="A1314"/>
      <c r="B1314" t="s">
        <v>59</v>
      </c>
      <c r="C1314" t="s">
        <v>59</v>
      </c>
      <c r="D1314" t="s">
        <v>33</v>
      </c>
      <c r="E1314" t="s">
        <v>34</v>
      </c>
      <c r="F1314" t="str">
        <f>"0001628"</f>
        <v>0001628</v>
      </c>
      <c r="G1314">
        <v>1</v>
      </c>
      <c r="H1314" t="str">
        <f>"00000000"</f>
        <v>00000000</v>
      </c>
      <c r="I1314" t="s">
        <v>35</v>
      </c>
      <c r="J1314"/>
      <c r="K1314">
        <v>6.61</v>
      </c>
      <c r="L1314">
        <v>0.0</v>
      </c>
      <c r="M1314"/>
      <c r="N1314"/>
      <c r="O1314">
        <v>1.19</v>
      </c>
      <c r="P1314">
        <v>0.2</v>
      </c>
      <c r="Q1314">
        <v>8.0</v>
      </c>
      <c r="R1314"/>
      <c r="S1314"/>
      <c r="T1314"/>
      <c r="U1314"/>
      <c r="V1314"/>
      <c r="W1314">
        <v>18</v>
      </c>
    </row>
    <row r="1315" spans="1:23">
      <c r="A1315"/>
      <c r="B1315" t="s">
        <v>59</v>
      </c>
      <c r="C1315" t="s">
        <v>59</v>
      </c>
      <c r="D1315" t="s">
        <v>33</v>
      </c>
      <c r="E1315" t="s">
        <v>34</v>
      </c>
      <c r="F1315" t="str">
        <f>"0001629"</f>
        <v>0001629</v>
      </c>
      <c r="G1315">
        <v>1</v>
      </c>
      <c r="H1315" t="str">
        <f>"00000000"</f>
        <v>00000000</v>
      </c>
      <c r="I1315" t="s">
        <v>35</v>
      </c>
      <c r="J1315"/>
      <c r="K1315">
        <v>31.36</v>
      </c>
      <c r="L1315">
        <v>0.0</v>
      </c>
      <c r="M1315"/>
      <c r="N1315"/>
      <c r="O1315">
        <v>5.64</v>
      </c>
      <c r="P1315">
        <v>0.2</v>
      </c>
      <c r="Q1315">
        <v>37.2</v>
      </c>
      <c r="R1315"/>
      <c r="S1315"/>
      <c r="T1315"/>
      <c r="U1315"/>
      <c r="V1315"/>
      <c r="W1315">
        <v>18</v>
      </c>
    </row>
    <row r="1316" spans="1:23">
      <c r="A1316"/>
      <c r="B1316" t="s">
        <v>59</v>
      </c>
      <c r="C1316" t="s">
        <v>59</v>
      </c>
      <c r="D1316" t="s">
        <v>33</v>
      </c>
      <c r="E1316" t="s">
        <v>34</v>
      </c>
      <c r="F1316" t="str">
        <f>"0001630"</f>
        <v>0001630</v>
      </c>
      <c r="G1316">
        <v>1</v>
      </c>
      <c r="H1316" t="str">
        <f>"00000000"</f>
        <v>00000000</v>
      </c>
      <c r="I1316" t="s">
        <v>35</v>
      </c>
      <c r="J1316"/>
      <c r="K1316">
        <v>5.49</v>
      </c>
      <c r="L1316">
        <v>0.0</v>
      </c>
      <c r="M1316"/>
      <c r="N1316"/>
      <c r="O1316">
        <v>0.99</v>
      </c>
      <c r="P1316">
        <v>0.0</v>
      </c>
      <c r="Q1316">
        <v>6.48</v>
      </c>
      <c r="R1316"/>
      <c r="S1316"/>
      <c r="T1316"/>
      <c r="U1316"/>
      <c r="V1316"/>
      <c r="W1316">
        <v>18</v>
      </c>
    </row>
    <row r="1317" spans="1:23">
      <c r="A1317"/>
      <c r="B1317" t="s">
        <v>59</v>
      </c>
      <c r="C1317" t="s">
        <v>59</v>
      </c>
      <c r="D1317" t="s">
        <v>33</v>
      </c>
      <c r="E1317" t="s">
        <v>34</v>
      </c>
      <c r="F1317" t="str">
        <f>"0001631"</f>
        <v>0001631</v>
      </c>
      <c r="G1317">
        <v>1</v>
      </c>
      <c r="H1317" t="str">
        <f>"00000000"</f>
        <v>00000000</v>
      </c>
      <c r="I1317" t="s">
        <v>35</v>
      </c>
      <c r="J1317"/>
      <c r="K1317">
        <v>19.44</v>
      </c>
      <c r="L1317">
        <v>0.0</v>
      </c>
      <c r="M1317"/>
      <c r="N1317"/>
      <c r="O1317">
        <v>3.5</v>
      </c>
      <c r="P1317">
        <v>0.2</v>
      </c>
      <c r="Q1317">
        <v>23.14</v>
      </c>
      <c r="R1317"/>
      <c r="S1317"/>
      <c r="T1317"/>
      <c r="U1317"/>
      <c r="V1317"/>
      <c r="W1317">
        <v>18</v>
      </c>
    </row>
    <row r="1318" spans="1:23">
      <c r="A1318"/>
      <c r="B1318" t="s">
        <v>59</v>
      </c>
      <c r="C1318" t="s">
        <v>59</v>
      </c>
      <c r="D1318" t="s">
        <v>33</v>
      </c>
      <c r="E1318" t="s">
        <v>34</v>
      </c>
      <c r="F1318" t="str">
        <f>"0001632"</f>
        <v>0001632</v>
      </c>
      <c r="G1318">
        <v>1</v>
      </c>
      <c r="H1318" t="str">
        <f>"00000000"</f>
        <v>00000000</v>
      </c>
      <c r="I1318" t="s">
        <v>35</v>
      </c>
      <c r="J1318"/>
      <c r="K1318">
        <v>50.18</v>
      </c>
      <c r="L1318">
        <v>0.0</v>
      </c>
      <c r="M1318"/>
      <c r="N1318"/>
      <c r="O1318">
        <v>9.03</v>
      </c>
      <c r="P1318">
        <v>0.2</v>
      </c>
      <c r="Q1318">
        <v>59.41</v>
      </c>
      <c r="R1318"/>
      <c r="S1318"/>
      <c r="T1318"/>
      <c r="U1318"/>
      <c r="V1318"/>
      <c r="W1318">
        <v>18</v>
      </c>
    </row>
    <row r="1319" spans="1:23">
      <c r="A1319"/>
      <c r="B1319" t="s">
        <v>59</v>
      </c>
      <c r="C1319" t="s">
        <v>59</v>
      </c>
      <c r="D1319" t="s">
        <v>33</v>
      </c>
      <c r="E1319" t="s">
        <v>34</v>
      </c>
      <c r="F1319" t="str">
        <f>"0001633"</f>
        <v>0001633</v>
      </c>
      <c r="G1319">
        <v>1</v>
      </c>
      <c r="H1319" t="str">
        <f>"00000000"</f>
        <v>00000000</v>
      </c>
      <c r="I1319" t="s">
        <v>35</v>
      </c>
      <c r="J1319"/>
      <c r="K1319">
        <v>9.8</v>
      </c>
      <c r="L1319">
        <v>0.0</v>
      </c>
      <c r="M1319"/>
      <c r="N1319"/>
      <c r="O1319">
        <v>1.76</v>
      </c>
      <c r="P1319">
        <v>0.0</v>
      </c>
      <c r="Q1319">
        <v>11.56</v>
      </c>
      <c r="R1319"/>
      <c r="S1319"/>
      <c r="T1319"/>
      <c r="U1319"/>
      <c r="V1319"/>
      <c r="W1319">
        <v>18</v>
      </c>
    </row>
    <row r="1320" spans="1:23">
      <c r="A1320"/>
      <c r="B1320" t="s">
        <v>59</v>
      </c>
      <c r="C1320" t="s">
        <v>59</v>
      </c>
      <c r="D1320" t="s">
        <v>33</v>
      </c>
      <c r="E1320" t="s">
        <v>34</v>
      </c>
      <c r="F1320" t="str">
        <f>"0001634"</f>
        <v>0001634</v>
      </c>
      <c r="G1320">
        <v>1</v>
      </c>
      <c r="H1320" t="str">
        <f>"00000000"</f>
        <v>00000000</v>
      </c>
      <c r="I1320" t="s">
        <v>35</v>
      </c>
      <c r="J1320"/>
      <c r="K1320">
        <v>0.08</v>
      </c>
      <c r="L1320">
        <v>0.0</v>
      </c>
      <c r="M1320"/>
      <c r="N1320"/>
      <c r="O1320">
        <v>0.02</v>
      </c>
      <c r="P1320">
        <v>0.2</v>
      </c>
      <c r="Q1320">
        <v>0.3</v>
      </c>
      <c r="R1320"/>
      <c r="S1320"/>
      <c r="T1320"/>
      <c r="U1320"/>
      <c r="V1320"/>
      <c r="W1320">
        <v>18</v>
      </c>
    </row>
    <row r="1321" spans="1:23">
      <c r="A1321"/>
      <c r="B1321" t="s">
        <v>59</v>
      </c>
      <c r="C1321" t="s">
        <v>59</v>
      </c>
      <c r="D1321" t="s">
        <v>33</v>
      </c>
      <c r="E1321" t="s">
        <v>34</v>
      </c>
      <c r="F1321" t="str">
        <f>"0001635"</f>
        <v>0001635</v>
      </c>
      <c r="G1321">
        <v>1</v>
      </c>
      <c r="H1321" t="str">
        <f>"00000000"</f>
        <v>00000000</v>
      </c>
      <c r="I1321" t="s">
        <v>35</v>
      </c>
      <c r="J1321"/>
      <c r="K1321">
        <v>2.88</v>
      </c>
      <c r="L1321">
        <v>0.0</v>
      </c>
      <c r="M1321"/>
      <c r="N1321"/>
      <c r="O1321">
        <v>0.52</v>
      </c>
      <c r="P1321">
        <v>0.0</v>
      </c>
      <c r="Q1321">
        <v>3.4</v>
      </c>
      <c r="R1321"/>
      <c r="S1321"/>
      <c r="T1321"/>
      <c r="U1321"/>
      <c r="V1321"/>
      <c r="W1321">
        <v>18</v>
      </c>
    </row>
    <row r="1322" spans="1:23">
      <c r="A1322"/>
      <c r="B1322" t="s">
        <v>59</v>
      </c>
      <c r="C1322" t="s">
        <v>59</v>
      </c>
      <c r="D1322" t="s">
        <v>33</v>
      </c>
      <c r="E1322" t="s">
        <v>34</v>
      </c>
      <c r="F1322" t="str">
        <f>"0001636"</f>
        <v>0001636</v>
      </c>
      <c r="G1322">
        <v>1</v>
      </c>
      <c r="H1322" t="str">
        <f>"00000000"</f>
        <v>00000000</v>
      </c>
      <c r="I1322" t="s">
        <v>35</v>
      </c>
      <c r="J1322"/>
      <c r="K1322">
        <v>8.56</v>
      </c>
      <c r="L1322">
        <v>0.0</v>
      </c>
      <c r="M1322"/>
      <c r="N1322"/>
      <c r="O1322">
        <v>1.54</v>
      </c>
      <c r="P1322">
        <v>0.0</v>
      </c>
      <c r="Q1322">
        <v>10.09</v>
      </c>
      <c r="R1322"/>
      <c r="S1322"/>
      <c r="T1322"/>
      <c r="U1322"/>
      <c r="V1322"/>
      <c r="W1322">
        <v>18</v>
      </c>
    </row>
    <row r="1323" spans="1:23">
      <c r="A1323"/>
      <c r="B1323" t="s">
        <v>59</v>
      </c>
      <c r="C1323" t="s">
        <v>59</v>
      </c>
      <c r="D1323" t="s">
        <v>33</v>
      </c>
      <c r="E1323" t="s">
        <v>34</v>
      </c>
      <c r="F1323" t="str">
        <f>"0001637"</f>
        <v>0001637</v>
      </c>
      <c r="G1323">
        <v>1</v>
      </c>
      <c r="H1323" t="str">
        <f>"00000000"</f>
        <v>00000000</v>
      </c>
      <c r="I1323" t="s">
        <v>35</v>
      </c>
      <c r="J1323"/>
      <c r="K1323">
        <v>3.81</v>
      </c>
      <c r="L1323">
        <v>0.0</v>
      </c>
      <c r="M1323"/>
      <c r="N1323"/>
      <c r="O1323">
        <v>0.69</v>
      </c>
      <c r="P1323">
        <v>0.0</v>
      </c>
      <c r="Q1323">
        <v>4.5</v>
      </c>
      <c r="R1323"/>
      <c r="S1323"/>
      <c r="T1323"/>
      <c r="U1323"/>
      <c r="V1323"/>
      <c r="W1323">
        <v>18</v>
      </c>
    </row>
    <row r="1324" spans="1:23">
      <c r="A1324"/>
      <c r="B1324" t="s">
        <v>59</v>
      </c>
      <c r="C1324" t="s">
        <v>59</v>
      </c>
      <c r="D1324" t="s">
        <v>33</v>
      </c>
      <c r="E1324" t="s">
        <v>34</v>
      </c>
      <c r="F1324" t="str">
        <f>"0001638"</f>
        <v>0001638</v>
      </c>
      <c r="G1324">
        <v>1</v>
      </c>
      <c r="H1324" t="str">
        <f>"00000000"</f>
        <v>00000000</v>
      </c>
      <c r="I1324" t="s">
        <v>35</v>
      </c>
      <c r="J1324"/>
      <c r="K1324">
        <v>2.97</v>
      </c>
      <c r="L1324">
        <v>0.0</v>
      </c>
      <c r="M1324"/>
      <c r="N1324"/>
      <c r="O1324">
        <v>0.53</v>
      </c>
      <c r="P1324">
        <v>0.0</v>
      </c>
      <c r="Q1324">
        <v>3.5</v>
      </c>
      <c r="R1324"/>
      <c r="S1324"/>
      <c r="T1324"/>
      <c r="U1324"/>
      <c r="V1324"/>
      <c r="W1324">
        <v>18</v>
      </c>
    </row>
    <row r="1325" spans="1:23">
      <c r="A1325"/>
      <c r="B1325" t="s">
        <v>59</v>
      </c>
      <c r="C1325" t="s">
        <v>59</v>
      </c>
      <c r="D1325" t="s">
        <v>33</v>
      </c>
      <c r="E1325" t="s">
        <v>34</v>
      </c>
      <c r="F1325" t="str">
        <f>"0001639"</f>
        <v>0001639</v>
      </c>
      <c r="G1325">
        <v>1</v>
      </c>
      <c r="H1325" t="str">
        <f>"00000000"</f>
        <v>00000000</v>
      </c>
      <c r="I1325" t="s">
        <v>35</v>
      </c>
      <c r="J1325"/>
      <c r="K1325">
        <v>13.53</v>
      </c>
      <c r="L1325">
        <v>0.0</v>
      </c>
      <c r="M1325"/>
      <c r="N1325"/>
      <c r="O1325">
        <v>2.43</v>
      </c>
      <c r="P1325">
        <v>0.0</v>
      </c>
      <c r="Q1325">
        <v>15.96</v>
      </c>
      <c r="R1325"/>
      <c r="S1325"/>
      <c r="T1325"/>
      <c r="U1325"/>
      <c r="V1325"/>
      <c r="W1325">
        <v>18</v>
      </c>
    </row>
    <row r="1326" spans="1:23">
      <c r="A1326"/>
      <c r="B1326" t="s">
        <v>59</v>
      </c>
      <c r="C1326" t="s">
        <v>59</v>
      </c>
      <c r="D1326" t="s">
        <v>33</v>
      </c>
      <c r="E1326" t="s">
        <v>34</v>
      </c>
      <c r="F1326" t="str">
        <f>"0001640"</f>
        <v>0001640</v>
      </c>
      <c r="G1326">
        <v>1</v>
      </c>
      <c r="H1326" t="str">
        <f>"00000000"</f>
        <v>00000000</v>
      </c>
      <c r="I1326" t="s">
        <v>35</v>
      </c>
      <c r="J1326"/>
      <c r="K1326">
        <v>12.12</v>
      </c>
      <c r="L1326">
        <v>0.0</v>
      </c>
      <c r="M1326"/>
      <c r="N1326"/>
      <c r="O1326">
        <v>2.18</v>
      </c>
      <c r="P1326">
        <v>0.0</v>
      </c>
      <c r="Q1326">
        <v>14.3</v>
      </c>
      <c r="R1326"/>
      <c r="S1326"/>
      <c r="T1326"/>
      <c r="U1326"/>
      <c r="V1326"/>
      <c r="W1326">
        <v>18</v>
      </c>
    </row>
    <row r="1327" spans="1:23">
      <c r="A1327"/>
      <c r="B1327" t="s">
        <v>59</v>
      </c>
      <c r="C1327" t="s">
        <v>59</v>
      </c>
      <c r="D1327" t="s">
        <v>33</v>
      </c>
      <c r="E1327" t="s">
        <v>34</v>
      </c>
      <c r="F1327" t="str">
        <f>"0001641"</f>
        <v>0001641</v>
      </c>
      <c r="G1327">
        <v>1</v>
      </c>
      <c r="H1327" t="str">
        <f>"00000000"</f>
        <v>00000000</v>
      </c>
      <c r="I1327" t="s">
        <v>35</v>
      </c>
      <c r="J1327"/>
      <c r="K1327">
        <v>16.86</v>
      </c>
      <c r="L1327">
        <v>0.0</v>
      </c>
      <c r="M1327"/>
      <c r="N1327"/>
      <c r="O1327">
        <v>3.04</v>
      </c>
      <c r="P1327">
        <v>0.2</v>
      </c>
      <c r="Q1327">
        <v>20.1</v>
      </c>
      <c r="R1327"/>
      <c r="S1327"/>
      <c r="T1327"/>
      <c r="U1327"/>
      <c r="V1327"/>
      <c r="W1327">
        <v>18</v>
      </c>
    </row>
    <row r="1328" spans="1:23">
      <c r="A1328"/>
      <c r="B1328" t="s">
        <v>59</v>
      </c>
      <c r="C1328" t="s">
        <v>59</v>
      </c>
      <c r="D1328" t="s">
        <v>33</v>
      </c>
      <c r="E1328" t="s">
        <v>34</v>
      </c>
      <c r="F1328" t="str">
        <f>"0001642"</f>
        <v>0001642</v>
      </c>
      <c r="G1328">
        <v>1</v>
      </c>
      <c r="H1328" t="str">
        <f>"00000000"</f>
        <v>00000000</v>
      </c>
      <c r="I1328" t="s">
        <v>35</v>
      </c>
      <c r="J1328"/>
      <c r="K1328">
        <v>107.44</v>
      </c>
      <c r="L1328">
        <v>0.0</v>
      </c>
      <c r="M1328"/>
      <c r="N1328"/>
      <c r="O1328">
        <v>19.34</v>
      </c>
      <c r="P1328">
        <v>0.2</v>
      </c>
      <c r="Q1328">
        <v>126.98</v>
      </c>
      <c r="R1328"/>
      <c r="S1328"/>
      <c r="T1328"/>
      <c r="U1328"/>
      <c r="V1328"/>
      <c r="W1328">
        <v>18</v>
      </c>
    </row>
    <row r="1329" spans="1:23">
      <c r="A1329"/>
      <c r="B1329" t="s">
        <v>59</v>
      </c>
      <c r="C1329" t="s">
        <v>59</v>
      </c>
      <c r="D1329" t="s">
        <v>33</v>
      </c>
      <c r="E1329" t="s">
        <v>34</v>
      </c>
      <c r="F1329" t="str">
        <f>"0001643"</f>
        <v>0001643</v>
      </c>
      <c r="G1329">
        <v>1</v>
      </c>
      <c r="H1329" t="str">
        <f>"00000000"</f>
        <v>00000000</v>
      </c>
      <c r="I1329" t="s">
        <v>35</v>
      </c>
      <c r="J1329"/>
      <c r="K1329">
        <v>9.2</v>
      </c>
      <c r="L1329">
        <v>0.0</v>
      </c>
      <c r="M1329"/>
      <c r="N1329"/>
      <c r="O1329">
        <v>1.66</v>
      </c>
      <c r="P1329">
        <v>0.0</v>
      </c>
      <c r="Q1329">
        <v>10.86</v>
      </c>
      <c r="R1329"/>
      <c r="S1329"/>
      <c r="T1329"/>
      <c r="U1329"/>
      <c r="V1329"/>
      <c r="W1329">
        <v>18</v>
      </c>
    </row>
    <row r="1330" spans="1:23">
      <c r="A1330"/>
      <c r="B1330" t="s">
        <v>59</v>
      </c>
      <c r="C1330" t="s">
        <v>59</v>
      </c>
      <c r="D1330" t="s">
        <v>33</v>
      </c>
      <c r="E1330" t="s">
        <v>34</v>
      </c>
      <c r="F1330" t="str">
        <f>"0001644"</f>
        <v>0001644</v>
      </c>
      <c r="G1330">
        <v>1</v>
      </c>
      <c r="H1330" t="str">
        <f>"00000000"</f>
        <v>00000000</v>
      </c>
      <c r="I1330" t="s">
        <v>35</v>
      </c>
      <c r="J1330"/>
      <c r="K1330">
        <v>11.27</v>
      </c>
      <c r="L1330">
        <v>0.0</v>
      </c>
      <c r="M1330"/>
      <c r="N1330"/>
      <c r="O1330">
        <v>2.03</v>
      </c>
      <c r="P1330">
        <v>0.2</v>
      </c>
      <c r="Q1330">
        <v>13.5</v>
      </c>
      <c r="R1330"/>
      <c r="S1330"/>
      <c r="T1330"/>
      <c r="U1330"/>
      <c r="V1330"/>
      <c r="W1330">
        <v>18</v>
      </c>
    </row>
    <row r="1331" spans="1:23">
      <c r="A1331"/>
      <c r="B1331" t="s">
        <v>59</v>
      </c>
      <c r="C1331" t="s">
        <v>59</v>
      </c>
      <c r="D1331" t="s">
        <v>33</v>
      </c>
      <c r="E1331" t="s">
        <v>34</v>
      </c>
      <c r="F1331" t="str">
        <f>"0001645"</f>
        <v>0001645</v>
      </c>
      <c r="G1331">
        <v>1</v>
      </c>
      <c r="H1331" t="str">
        <f>"00000000"</f>
        <v>00000000</v>
      </c>
      <c r="I1331" t="s">
        <v>35</v>
      </c>
      <c r="J1331"/>
      <c r="K1331">
        <v>6.53</v>
      </c>
      <c r="L1331">
        <v>0.0</v>
      </c>
      <c r="M1331"/>
      <c r="N1331"/>
      <c r="O1331">
        <v>1.17</v>
      </c>
      <c r="P1331">
        <v>0.0</v>
      </c>
      <c r="Q1331">
        <v>7.7</v>
      </c>
      <c r="R1331"/>
      <c r="S1331"/>
      <c r="T1331"/>
      <c r="U1331"/>
      <c r="V1331"/>
      <c r="W1331">
        <v>18</v>
      </c>
    </row>
    <row r="1332" spans="1:23">
      <c r="A1332"/>
      <c r="B1332" t="s">
        <v>61</v>
      </c>
      <c r="C1332" t="s">
        <v>61</v>
      </c>
      <c r="D1332" t="s">
        <v>33</v>
      </c>
      <c r="E1332" t="s">
        <v>34</v>
      </c>
      <c r="F1332" t="str">
        <f>"0001646"</f>
        <v>0001646</v>
      </c>
      <c r="G1332">
        <v>1</v>
      </c>
      <c r="H1332" t="str">
        <f>"00000000"</f>
        <v>00000000</v>
      </c>
      <c r="I1332" t="s">
        <v>35</v>
      </c>
      <c r="J1332"/>
      <c r="K1332">
        <v>10.59</v>
      </c>
      <c r="L1332">
        <v>0.0</v>
      </c>
      <c r="M1332"/>
      <c r="N1332"/>
      <c r="O1332">
        <v>1.91</v>
      </c>
      <c r="P1332">
        <v>0.0</v>
      </c>
      <c r="Q1332">
        <v>12.5</v>
      </c>
      <c r="R1332"/>
      <c r="S1332"/>
      <c r="T1332"/>
      <c r="U1332"/>
      <c r="V1332"/>
      <c r="W1332">
        <v>18</v>
      </c>
    </row>
    <row r="1333" spans="1:23">
      <c r="A1333"/>
      <c r="B1333" t="s">
        <v>61</v>
      </c>
      <c r="C1333" t="s">
        <v>61</v>
      </c>
      <c r="D1333" t="s">
        <v>33</v>
      </c>
      <c r="E1333" t="s">
        <v>34</v>
      </c>
      <c r="F1333" t="str">
        <f>"0001647"</f>
        <v>0001647</v>
      </c>
      <c r="G1333">
        <v>1</v>
      </c>
      <c r="H1333" t="str">
        <f>"00000000"</f>
        <v>00000000</v>
      </c>
      <c r="I1333" t="s">
        <v>35</v>
      </c>
      <c r="J1333"/>
      <c r="K1333">
        <v>20.76</v>
      </c>
      <c r="L1333">
        <v>0.0</v>
      </c>
      <c r="M1333"/>
      <c r="N1333"/>
      <c r="O1333">
        <v>3.74</v>
      </c>
      <c r="P1333">
        <v>0.2</v>
      </c>
      <c r="Q1333">
        <v>24.7</v>
      </c>
      <c r="R1333"/>
      <c r="S1333"/>
      <c r="T1333"/>
      <c r="U1333"/>
      <c r="V1333"/>
      <c r="W1333">
        <v>18</v>
      </c>
    </row>
    <row r="1334" spans="1:23">
      <c r="A1334"/>
      <c r="B1334" t="s">
        <v>61</v>
      </c>
      <c r="C1334" t="s">
        <v>61</v>
      </c>
      <c r="D1334" t="s">
        <v>33</v>
      </c>
      <c r="E1334" t="s">
        <v>34</v>
      </c>
      <c r="F1334" t="str">
        <f>"0001648"</f>
        <v>0001648</v>
      </c>
      <c r="G1334">
        <v>1</v>
      </c>
      <c r="H1334" t="str">
        <f>"00000000"</f>
        <v>00000000</v>
      </c>
      <c r="I1334" t="s">
        <v>35</v>
      </c>
      <c r="J1334"/>
      <c r="K1334">
        <v>3.98</v>
      </c>
      <c r="L1334">
        <v>0.0</v>
      </c>
      <c r="M1334"/>
      <c r="N1334"/>
      <c r="O1334">
        <v>0.72</v>
      </c>
      <c r="P1334">
        <v>0.0</v>
      </c>
      <c r="Q1334">
        <v>4.7</v>
      </c>
      <c r="R1334"/>
      <c r="S1334"/>
      <c r="T1334"/>
      <c r="U1334"/>
      <c r="V1334"/>
      <c r="W1334">
        <v>18</v>
      </c>
    </row>
    <row r="1335" spans="1:23">
      <c r="A1335"/>
      <c r="B1335" t="s">
        <v>61</v>
      </c>
      <c r="C1335" t="s">
        <v>61</v>
      </c>
      <c r="D1335" t="s">
        <v>33</v>
      </c>
      <c r="E1335" t="s">
        <v>34</v>
      </c>
      <c r="F1335" t="str">
        <f>"0001649"</f>
        <v>0001649</v>
      </c>
      <c r="G1335">
        <v>1</v>
      </c>
      <c r="H1335" t="str">
        <f>"00000000"</f>
        <v>00000000</v>
      </c>
      <c r="I1335" t="s">
        <v>35</v>
      </c>
      <c r="J1335"/>
      <c r="K1335">
        <v>6.86</v>
      </c>
      <c r="L1335">
        <v>0.0</v>
      </c>
      <c r="M1335"/>
      <c r="N1335"/>
      <c r="O1335">
        <v>1.24</v>
      </c>
      <c r="P1335">
        <v>0.2</v>
      </c>
      <c r="Q1335">
        <v>8.3</v>
      </c>
      <c r="R1335"/>
      <c r="S1335"/>
      <c r="T1335"/>
      <c r="U1335"/>
      <c r="V1335"/>
      <c r="W1335">
        <v>18</v>
      </c>
    </row>
    <row r="1336" spans="1:23">
      <c r="A1336"/>
      <c r="B1336" t="s">
        <v>61</v>
      </c>
      <c r="C1336" t="s">
        <v>61</v>
      </c>
      <c r="D1336" t="s">
        <v>33</v>
      </c>
      <c r="E1336" t="s">
        <v>34</v>
      </c>
      <c r="F1336" t="str">
        <f>"0001650"</f>
        <v>0001650</v>
      </c>
      <c r="G1336">
        <v>1</v>
      </c>
      <c r="H1336" t="str">
        <f>"00000000"</f>
        <v>00000000</v>
      </c>
      <c r="I1336" t="s">
        <v>35</v>
      </c>
      <c r="J1336"/>
      <c r="K1336">
        <v>4.73</v>
      </c>
      <c r="L1336">
        <v>0.0</v>
      </c>
      <c r="M1336"/>
      <c r="N1336"/>
      <c r="O1336">
        <v>0.85</v>
      </c>
      <c r="P1336">
        <v>0.0</v>
      </c>
      <c r="Q1336">
        <v>5.59</v>
      </c>
      <c r="R1336"/>
      <c r="S1336"/>
      <c r="T1336"/>
      <c r="U1336"/>
      <c r="V1336"/>
      <c r="W1336">
        <v>18</v>
      </c>
    </row>
    <row r="1337" spans="1:23">
      <c r="A1337"/>
      <c r="B1337" t="s">
        <v>61</v>
      </c>
      <c r="C1337" t="s">
        <v>61</v>
      </c>
      <c r="D1337" t="s">
        <v>33</v>
      </c>
      <c r="E1337" t="s">
        <v>34</v>
      </c>
      <c r="F1337" t="str">
        <f>"0001651"</f>
        <v>0001651</v>
      </c>
      <c r="G1337">
        <v>1</v>
      </c>
      <c r="H1337" t="str">
        <f>"00000000"</f>
        <v>00000000</v>
      </c>
      <c r="I1337" t="s">
        <v>35</v>
      </c>
      <c r="J1337"/>
      <c r="K1337">
        <v>8.32</v>
      </c>
      <c r="L1337">
        <v>0.0</v>
      </c>
      <c r="M1337"/>
      <c r="N1337"/>
      <c r="O1337">
        <v>1.5</v>
      </c>
      <c r="P1337">
        <v>0.0</v>
      </c>
      <c r="Q1337">
        <v>9.82</v>
      </c>
      <c r="R1337"/>
      <c r="S1337"/>
      <c r="T1337"/>
      <c r="U1337"/>
      <c r="V1337"/>
      <c r="W1337">
        <v>18</v>
      </c>
    </row>
    <row r="1338" spans="1:23">
      <c r="A1338"/>
      <c r="B1338" t="s">
        <v>61</v>
      </c>
      <c r="C1338" t="s">
        <v>61</v>
      </c>
      <c r="D1338" t="s">
        <v>33</v>
      </c>
      <c r="E1338" t="s">
        <v>34</v>
      </c>
      <c r="F1338" t="str">
        <f>"0001652"</f>
        <v>0001652</v>
      </c>
      <c r="G1338">
        <v>1</v>
      </c>
      <c r="H1338" t="str">
        <f>"00000000"</f>
        <v>00000000</v>
      </c>
      <c r="I1338" t="s">
        <v>35</v>
      </c>
      <c r="J1338"/>
      <c r="K1338">
        <v>81.47</v>
      </c>
      <c r="L1338">
        <v>0.0</v>
      </c>
      <c r="M1338"/>
      <c r="N1338"/>
      <c r="O1338">
        <v>14.66</v>
      </c>
      <c r="P1338">
        <v>0.4</v>
      </c>
      <c r="Q1338">
        <v>96.53</v>
      </c>
      <c r="R1338"/>
      <c r="S1338"/>
      <c r="T1338"/>
      <c r="U1338"/>
      <c r="V1338"/>
      <c r="W1338">
        <v>18</v>
      </c>
    </row>
    <row r="1339" spans="1:23">
      <c r="A1339"/>
      <c r="B1339" t="s">
        <v>61</v>
      </c>
      <c r="C1339" t="s">
        <v>61</v>
      </c>
      <c r="D1339" t="s">
        <v>33</v>
      </c>
      <c r="E1339" t="s">
        <v>34</v>
      </c>
      <c r="F1339" t="str">
        <f>"0001653"</f>
        <v>0001653</v>
      </c>
      <c r="G1339">
        <v>1</v>
      </c>
      <c r="H1339" t="str">
        <f>"00000000"</f>
        <v>00000000</v>
      </c>
      <c r="I1339" t="s">
        <v>35</v>
      </c>
      <c r="J1339"/>
      <c r="K1339">
        <v>12.12</v>
      </c>
      <c r="L1339">
        <v>0.0</v>
      </c>
      <c r="M1339"/>
      <c r="N1339"/>
      <c r="O1339">
        <v>2.18</v>
      </c>
      <c r="P1339">
        <v>0.2</v>
      </c>
      <c r="Q1339">
        <v>14.5</v>
      </c>
      <c r="R1339"/>
      <c r="S1339"/>
      <c r="T1339"/>
      <c r="U1339"/>
      <c r="V1339"/>
      <c r="W1339">
        <v>18</v>
      </c>
    </row>
    <row r="1340" spans="1:23">
      <c r="A1340"/>
      <c r="B1340" t="s">
        <v>61</v>
      </c>
      <c r="C1340" t="s">
        <v>61</v>
      </c>
      <c r="D1340" t="s">
        <v>33</v>
      </c>
      <c r="E1340" t="s">
        <v>34</v>
      </c>
      <c r="F1340" t="str">
        <f>"0001654"</f>
        <v>0001654</v>
      </c>
      <c r="G1340">
        <v>1</v>
      </c>
      <c r="H1340" t="str">
        <f>"00000000"</f>
        <v>00000000</v>
      </c>
      <c r="I1340" t="s">
        <v>35</v>
      </c>
      <c r="J1340"/>
      <c r="K1340">
        <v>2.71</v>
      </c>
      <c r="L1340">
        <v>0.0</v>
      </c>
      <c r="M1340"/>
      <c r="N1340"/>
      <c r="O1340">
        <v>0.49</v>
      </c>
      <c r="P1340">
        <v>0.0</v>
      </c>
      <c r="Q1340">
        <v>3.2</v>
      </c>
      <c r="R1340"/>
      <c r="S1340"/>
      <c r="T1340"/>
      <c r="U1340"/>
      <c r="V1340"/>
      <c r="W1340">
        <v>18</v>
      </c>
    </row>
    <row r="1341" spans="1:23">
      <c r="A1341"/>
      <c r="B1341" t="s">
        <v>61</v>
      </c>
      <c r="C1341" t="s">
        <v>61</v>
      </c>
      <c r="D1341" t="s">
        <v>33</v>
      </c>
      <c r="E1341" t="s">
        <v>34</v>
      </c>
      <c r="F1341" t="str">
        <f>"0001655"</f>
        <v>0001655</v>
      </c>
      <c r="G1341">
        <v>1</v>
      </c>
      <c r="H1341" t="str">
        <f>"00000000"</f>
        <v>00000000</v>
      </c>
      <c r="I1341" t="s">
        <v>35</v>
      </c>
      <c r="J1341"/>
      <c r="K1341">
        <v>6.91</v>
      </c>
      <c r="L1341">
        <v>0.0</v>
      </c>
      <c r="M1341"/>
      <c r="N1341"/>
      <c r="O1341">
        <v>1.24</v>
      </c>
      <c r="P1341">
        <v>0.0</v>
      </c>
      <c r="Q1341">
        <v>8.15</v>
      </c>
      <c r="R1341"/>
      <c r="S1341"/>
      <c r="T1341"/>
      <c r="U1341"/>
      <c r="V1341"/>
      <c r="W1341">
        <v>18</v>
      </c>
    </row>
    <row r="1342" spans="1:23">
      <c r="A1342"/>
      <c r="B1342" t="s">
        <v>61</v>
      </c>
      <c r="C1342" t="s">
        <v>61</v>
      </c>
      <c r="D1342" t="s">
        <v>33</v>
      </c>
      <c r="E1342" t="s">
        <v>34</v>
      </c>
      <c r="F1342" t="str">
        <f>"0001656"</f>
        <v>0001656</v>
      </c>
      <c r="G1342">
        <v>1</v>
      </c>
      <c r="H1342" t="str">
        <f>"00000000"</f>
        <v>00000000</v>
      </c>
      <c r="I1342" t="s">
        <v>35</v>
      </c>
      <c r="J1342"/>
      <c r="K1342">
        <v>23.29</v>
      </c>
      <c r="L1342">
        <v>0.0</v>
      </c>
      <c r="M1342"/>
      <c r="N1342"/>
      <c r="O1342">
        <v>4.19</v>
      </c>
      <c r="P1342">
        <v>0.2</v>
      </c>
      <c r="Q1342">
        <v>27.68</v>
      </c>
      <c r="R1342"/>
      <c r="S1342"/>
      <c r="T1342"/>
      <c r="U1342"/>
      <c r="V1342"/>
      <c r="W1342">
        <v>18</v>
      </c>
    </row>
    <row r="1343" spans="1:23">
      <c r="A1343"/>
      <c r="B1343" t="s">
        <v>61</v>
      </c>
      <c r="C1343" t="s">
        <v>61</v>
      </c>
      <c r="D1343" t="s">
        <v>33</v>
      </c>
      <c r="E1343" t="s">
        <v>34</v>
      </c>
      <c r="F1343" t="str">
        <f>"0001657"</f>
        <v>0001657</v>
      </c>
      <c r="G1343">
        <v>1</v>
      </c>
      <c r="H1343" t="str">
        <f>"00000000"</f>
        <v>00000000</v>
      </c>
      <c r="I1343" t="s">
        <v>35</v>
      </c>
      <c r="J1343"/>
      <c r="K1343">
        <v>9.49</v>
      </c>
      <c r="L1343">
        <v>0.0</v>
      </c>
      <c r="M1343"/>
      <c r="N1343"/>
      <c r="O1343">
        <v>1.71</v>
      </c>
      <c r="P1343">
        <v>0.2</v>
      </c>
      <c r="Q1343">
        <v>11.4</v>
      </c>
      <c r="R1343"/>
      <c r="S1343"/>
      <c r="T1343"/>
      <c r="U1343"/>
      <c r="V1343"/>
      <c r="W1343">
        <v>18</v>
      </c>
    </row>
    <row r="1344" spans="1:23">
      <c r="A1344"/>
      <c r="B1344" t="s">
        <v>61</v>
      </c>
      <c r="C1344" t="s">
        <v>61</v>
      </c>
      <c r="D1344" t="s">
        <v>33</v>
      </c>
      <c r="E1344" t="s">
        <v>34</v>
      </c>
      <c r="F1344" t="str">
        <f>"0001658"</f>
        <v>0001658</v>
      </c>
      <c r="G1344">
        <v>1</v>
      </c>
      <c r="H1344" t="str">
        <f>"00000000"</f>
        <v>00000000</v>
      </c>
      <c r="I1344" t="s">
        <v>35</v>
      </c>
      <c r="J1344"/>
      <c r="K1344">
        <v>4.21</v>
      </c>
      <c r="L1344">
        <v>0.0</v>
      </c>
      <c r="M1344"/>
      <c r="N1344"/>
      <c r="O1344">
        <v>0.76</v>
      </c>
      <c r="P1344">
        <v>0.2</v>
      </c>
      <c r="Q1344">
        <v>5.17</v>
      </c>
      <c r="R1344"/>
      <c r="S1344"/>
      <c r="T1344"/>
      <c r="U1344"/>
      <c r="V1344"/>
      <c r="W1344">
        <v>18</v>
      </c>
    </row>
    <row r="1345" spans="1:23">
      <c r="A1345"/>
      <c r="B1345" t="s">
        <v>61</v>
      </c>
      <c r="C1345" t="s">
        <v>61</v>
      </c>
      <c r="D1345" t="s">
        <v>33</v>
      </c>
      <c r="E1345" t="s">
        <v>34</v>
      </c>
      <c r="F1345" t="str">
        <f>"0001659"</f>
        <v>0001659</v>
      </c>
      <c r="G1345">
        <v>1</v>
      </c>
      <c r="H1345" t="str">
        <f>"00000000"</f>
        <v>00000000</v>
      </c>
      <c r="I1345" t="s">
        <v>35</v>
      </c>
      <c r="J1345"/>
      <c r="K1345">
        <v>1.86</v>
      </c>
      <c r="L1345">
        <v>0.0</v>
      </c>
      <c r="M1345"/>
      <c r="N1345"/>
      <c r="O1345">
        <v>0.34</v>
      </c>
      <c r="P1345">
        <v>0.0</v>
      </c>
      <c r="Q1345">
        <v>2.2</v>
      </c>
      <c r="R1345"/>
      <c r="S1345"/>
      <c r="T1345"/>
      <c r="U1345"/>
      <c r="V1345"/>
      <c r="W1345">
        <v>18</v>
      </c>
    </row>
    <row r="1346" spans="1:23">
      <c r="A1346"/>
      <c r="B1346" t="s">
        <v>61</v>
      </c>
      <c r="C1346" t="s">
        <v>61</v>
      </c>
      <c r="D1346" t="s">
        <v>33</v>
      </c>
      <c r="E1346" t="s">
        <v>34</v>
      </c>
      <c r="F1346" t="str">
        <f>"0001660"</f>
        <v>0001660</v>
      </c>
      <c r="G1346">
        <v>1</v>
      </c>
      <c r="H1346" t="str">
        <f>"00000000"</f>
        <v>00000000</v>
      </c>
      <c r="I1346" t="s">
        <v>35</v>
      </c>
      <c r="J1346"/>
      <c r="K1346">
        <v>3.84</v>
      </c>
      <c r="L1346">
        <v>0.0</v>
      </c>
      <c r="M1346"/>
      <c r="N1346"/>
      <c r="O1346">
        <v>0.69</v>
      </c>
      <c r="P1346">
        <v>0.0</v>
      </c>
      <c r="Q1346">
        <v>4.53</v>
      </c>
      <c r="R1346"/>
      <c r="S1346"/>
      <c r="T1346"/>
      <c r="U1346"/>
      <c r="V1346"/>
      <c r="W1346">
        <v>18</v>
      </c>
    </row>
    <row r="1347" spans="1:23">
      <c r="A1347"/>
      <c r="B1347" t="s">
        <v>61</v>
      </c>
      <c r="C1347" t="s">
        <v>61</v>
      </c>
      <c r="D1347" t="s">
        <v>33</v>
      </c>
      <c r="E1347" t="s">
        <v>34</v>
      </c>
      <c r="F1347" t="str">
        <f>"0001661"</f>
        <v>0001661</v>
      </c>
      <c r="G1347">
        <v>1</v>
      </c>
      <c r="H1347" t="str">
        <f>"00000000"</f>
        <v>00000000</v>
      </c>
      <c r="I1347" t="s">
        <v>35</v>
      </c>
      <c r="J1347"/>
      <c r="K1347">
        <v>0.85</v>
      </c>
      <c r="L1347">
        <v>0.0</v>
      </c>
      <c r="M1347"/>
      <c r="N1347"/>
      <c r="O1347">
        <v>0.15</v>
      </c>
      <c r="P1347">
        <v>0.0</v>
      </c>
      <c r="Q1347">
        <v>1.0</v>
      </c>
      <c r="R1347"/>
      <c r="S1347"/>
      <c r="T1347"/>
      <c r="U1347"/>
      <c r="V1347"/>
      <c r="W1347">
        <v>18</v>
      </c>
    </row>
    <row r="1348" spans="1:23">
      <c r="A1348"/>
      <c r="B1348" t="s">
        <v>61</v>
      </c>
      <c r="C1348" t="s">
        <v>61</v>
      </c>
      <c r="D1348" t="s">
        <v>33</v>
      </c>
      <c r="E1348" t="s">
        <v>34</v>
      </c>
      <c r="F1348" t="str">
        <f>"0001662"</f>
        <v>0001662</v>
      </c>
      <c r="G1348">
        <v>1</v>
      </c>
      <c r="H1348" t="str">
        <f>"00000000"</f>
        <v>00000000</v>
      </c>
      <c r="I1348" t="s">
        <v>35</v>
      </c>
      <c r="J1348"/>
      <c r="K1348">
        <v>2.12</v>
      </c>
      <c r="L1348">
        <v>0.0</v>
      </c>
      <c r="M1348"/>
      <c r="N1348"/>
      <c r="O1348">
        <v>0.38</v>
      </c>
      <c r="P1348">
        <v>0.0</v>
      </c>
      <c r="Q1348">
        <v>2.5</v>
      </c>
      <c r="R1348"/>
      <c r="S1348"/>
      <c r="T1348"/>
      <c r="U1348"/>
      <c r="V1348"/>
      <c r="W1348">
        <v>18</v>
      </c>
    </row>
    <row r="1349" spans="1:23">
      <c r="A1349"/>
      <c r="B1349" t="s">
        <v>61</v>
      </c>
      <c r="C1349" t="s">
        <v>61</v>
      </c>
      <c r="D1349" t="s">
        <v>33</v>
      </c>
      <c r="E1349" t="s">
        <v>34</v>
      </c>
      <c r="F1349" t="str">
        <f>"0001663"</f>
        <v>0001663</v>
      </c>
      <c r="G1349">
        <v>1</v>
      </c>
      <c r="H1349" t="str">
        <f>"00000000"</f>
        <v>00000000</v>
      </c>
      <c r="I1349" t="s">
        <v>35</v>
      </c>
      <c r="J1349"/>
      <c r="K1349">
        <v>7.6</v>
      </c>
      <c r="L1349">
        <v>0.0</v>
      </c>
      <c r="M1349"/>
      <c r="N1349"/>
      <c r="O1349">
        <v>1.37</v>
      </c>
      <c r="P1349">
        <v>0.0</v>
      </c>
      <c r="Q1349">
        <v>8.97</v>
      </c>
      <c r="R1349"/>
      <c r="S1349"/>
      <c r="T1349"/>
      <c r="U1349"/>
      <c r="V1349"/>
      <c r="W1349">
        <v>18</v>
      </c>
    </row>
    <row r="1350" spans="1:23">
      <c r="A1350"/>
      <c r="B1350" t="s">
        <v>61</v>
      </c>
      <c r="C1350" t="s">
        <v>61</v>
      </c>
      <c r="D1350" t="s">
        <v>33</v>
      </c>
      <c r="E1350" t="s">
        <v>34</v>
      </c>
      <c r="F1350" t="str">
        <f>"0001664"</f>
        <v>0001664</v>
      </c>
      <c r="G1350">
        <v>1</v>
      </c>
      <c r="H1350" t="str">
        <f>"00000000"</f>
        <v>00000000</v>
      </c>
      <c r="I1350" t="s">
        <v>35</v>
      </c>
      <c r="J1350"/>
      <c r="K1350">
        <v>13.64</v>
      </c>
      <c r="L1350">
        <v>0.0</v>
      </c>
      <c r="M1350"/>
      <c r="N1350"/>
      <c r="O1350">
        <v>2.46</v>
      </c>
      <c r="P1350">
        <v>0.2</v>
      </c>
      <c r="Q1350">
        <v>16.3</v>
      </c>
      <c r="R1350"/>
      <c r="S1350"/>
      <c r="T1350"/>
      <c r="U1350"/>
      <c r="V1350"/>
      <c r="W1350">
        <v>18</v>
      </c>
    </row>
    <row r="1351" spans="1:23">
      <c r="A1351"/>
      <c r="B1351" t="s">
        <v>61</v>
      </c>
      <c r="C1351" t="s">
        <v>61</v>
      </c>
      <c r="D1351" t="s">
        <v>33</v>
      </c>
      <c r="E1351" t="s">
        <v>34</v>
      </c>
      <c r="F1351" t="str">
        <f>"0001665"</f>
        <v>0001665</v>
      </c>
      <c r="G1351">
        <v>1</v>
      </c>
      <c r="H1351" t="str">
        <f>"00000000"</f>
        <v>00000000</v>
      </c>
      <c r="I1351" t="s">
        <v>35</v>
      </c>
      <c r="J1351"/>
      <c r="K1351">
        <v>6.91</v>
      </c>
      <c r="L1351">
        <v>0.0</v>
      </c>
      <c r="M1351"/>
      <c r="N1351"/>
      <c r="O1351">
        <v>1.24</v>
      </c>
      <c r="P1351">
        <v>0.0</v>
      </c>
      <c r="Q1351">
        <v>8.15</v>
      </c>
      <c r="R1351"/>
      <c r="S1351"/>
      <c r="T1351"/>
      <c r="U1351"/>
      <c r="V1351"/>
      <c r="W1351">
        <v>18</v>
      </c>
    </row>
    <row r="1352" spans="1:23">
      <c r="A1352"/>
      <c r="B1352" t="s">
        <v>61</v>
      </c>
      <c r="C1352" t="s">
        <v>61</v>
      </c>
      <c r="D1352" t="s">
        <v>33</v>
      </c>
      <c r="E1352" t="s">
        <v>34</v>
      </c>
      <c r="F1352" t="str">
        <f>"0001666"</f>
        <v>0001666</v>
      </c>
      <c r="G1352">
        <v>1</v>
      </c>
      <c r="H1352" t="str">
        <f>"00000000"</f>
        <v>00000000</v>
      </c>
      <c r="I1352" t="s">
        <v>35</v>
      </c>
      <c r="J1352"/>
      <c r="K1352">
        <v>12.2</v>
      </c>
      <c r="L1352">
        <v>0.0</v>
      </c>
      <c r="M1352"/>
      <c r="N1352"/>
      <c r="O1352">
        <v>2.2</v>
      </c>
      <c r="P1352">
        <v>0.2</v>
      </c>
      <c r="Q1352">
        <v>14.59</v>
      </c>
      <c r="R1352"/>
      <c r="S1352"/>
      <c r="T1352"/>
      <c r="U1352"/>
      <c r="V1352"/>
      <c r="W1352">
        <v>18</v>
      </c>
    </row>
    <row r="1353" spans="1:23">
      <c r="A1353"/>
      <c r="B1353" t="s">
        <v>61</v>
      </c>
      <c r="C1353" t="s">
        <v>61</v>
      </c>
      <c r="D1353" t="s">
        <v>33</v>
      </c>
      <c r="E1353" t="s">
        <v>34</v>
      </c>
      <c r="F1353" t="str">
        <f>"0001667"</f>
        <v>0001667</v>
      </c>
      <c r="G1353">
        <v>1</v>
      </c>
      <c r="H1353" t="str">
        <f>"00000000"</f>
        <v>00000000</v>
      </c>
      <c r="I1353" t="s">
        <v>35</v>
      </c>
      <c r="J1353"/>
      <c r="K1353">
        <v>12.99</v>
      </c>
      <c r="L1353">
        <v>0.0</v>
      </c>
      <c r="M1353"/>
      <c r="N1353"/>
      <c r="O1353">
        <v>2.34</v>
      </c>
      <c r="P1353">
        <v>0.2</v>
      </c>
      <c r="Q1353">
        <v>15.53</v>
      </c>
      <c r="R1353"/>
      <c r="S1353"/>
      <c r="T1353"/>
      <c r="U1353"/>
      <c r="V1353"/>
      <c r="W1353">
        <v>18</v>
      </c>
    </row>
    <row r="1354" spans="1:23">
      <c r="A1354"/>
      <c r="B1354" t="s">
        <v>61</v>
      </c>
      <c r="C1354" t="s">
        <v>61</v>
      </c>
      <c r="D1354" t="s">
        <v>33</v>
      </c>
      <c r="E1354" t="s">
        <v>34</v>
      </c>
      <c r="F1354" t="str">
        <f>"0001668"</f>
        <v>0001668</v>
      </c>
      <c r="G1354">
        <v>1</v>
      </c>
      <c r="H1354" t="str">
        <f>"00000000"</f>
        <v>00000000</v>
      </c>
      <c r="I1354" t="s">
        <v>35</v>
      </c>
      <c r="J1354"/>
      <c r="K1354">
        <v>18.18</v>
      </c>
      <c r="L1354">
        <v>0.0</v>
      </c>
      <c r="M1354"/>
      <c r="N1354"/>
      <c r="O1354">
        <v>3.27</v>
      </c>
      <c r="P1354">
        <v>0.2</v>
      </c>
      <c r="Q1354">
        <v>21.66</v>
      </c>
      <c r="R1354"/>
      <c r="S1354"/>
      <c r="T1354"/>
      <c r="U1354"/>
      <c r="V1354"/>
      <c r="W1354">
        <v>18</v>
      </c>
    </row>
    <row r="1355" spans="1:23">
      <c r="A1355"/>
      <c r="B1355" t="s">
        <v>61</v>
      </c>
      <c r="C1355" t="s">
        <v>61</v>
      </c>
      <c r="D1355" t="s">
        <v>33</v>
      </c>
      <c r="E1355" t="s">
        <v>34</v>
      </c>
      <c r="F1355" t="str">
        <f>"0001669"</f>
        <v>0001669</v>
      </c>
      <c r="G1355">
        <v>1</v>
      </c>
      <c r="H1355" t="str">
        <f>"00000000"</f>
        <v>00000000</v>
      </c>
      <c r="I1355" t="s">
        <v>35</v>
      </c>
      <c r="J1355"/>
      <c r="K1355">
        <v>18.56</v>
      </c>
      <c r="L1355">
        <v>0.0</v>
      </c>
      <c r="M1355"/>
      <c r="N1355"/>
      <c r="O1355">
        <v>3.34</v>
      </c>
      <c r="P1355">
        <v>0.0</v>
      </c>
      <c r="Q1355">
        <v>21.9</v>
      </c>
      <c r="R1355"/>
      <c r="S1355"/>
      <c r="T1355"/>
      <c r="U1355"/>
      <c r="V1355"/>
      <c r="W1355">
        <v>18</v>
      </c>
    </row>
    <row r="1356" spans="1:23">
      <c r="A1356"/>
      <c r="B1356" t="s">
        <v>61</v>
      </c>
      <c r="C1356" t="s">
        <v>61</v>
      </c>
      <c r="D1356" t="s">
        <v>33</v>
      </c>
      <c r="E1356" t="s">
        <v>34</v>
      </c>
      <c r="F1356" t="str">
        <f>"0001670"</f>
        <v>0001670</v>
      </c>
      <c r="G1356">
        <v>1</v>
      </c>
      <c r="H1356" t="str">
        <f>"00000000"</f>
        <v>00000000</v>
      </c>
      <c r="I1356" t="s">
        <v>35</v>
      </c>
      <c r="J1356"/>
      <c r="K1356">
        <v>4.15</v>
      </c>
      <c r="L1356">
        <v>0.0</v>
      </c>
      <c r="M1356"/>
      <c r="N1356"/>
      <c r="O1356">
        <v>0.75</v>
      </c>
      <c r="P1356">
        <v>0.0</v>
      </c>
      <c r="Q1356">
        <v>4.9</v>
      </c>
      <c r="R1356"/>
      <c r="S1356"/>
      <c r="T1356"/>
      <c r="U1356"/>
      <c r="V1356"/>
      <c r="W1356">
        <v>18</v>
      </c>
    </row>
    <row r="1357" spans="1:23">
      <c r="A1357"/>
      <c r="B1357" t="s">
        <v>61</v>
      </c>
      <c r="C1357" t="s">
        <v>61</v>
      </c>
      <c r="D1357" t="s">
        <v>33</v>
      </c>
      <c r="E1357" t="s">
        <v>34</v>
      </c>
      <c r="F1357" t="str">
        <f>"0001671"</f>
        <v>0001671</v>
      </c>
      <c r="G1357">
        <v>1</v>
      </c>
      <c r="H1357" t="str">
        <f>"00000000"</f>
        <v>00000000</v>
      </c>
      <c r="I1357" t="s">
        <v>35</v>
      </c>
      <c r="J1357"/>
      <c r="K1357">
        <v>94.07</v>
      </c>
      <c r="L1357">
        <v>0.0</v>
      </c>
      <c r="M1357"/>
      <c r="N1357"/>
      <c r="O1357">
        <v>16.93</v>
      </c>
      <c r="P1357">
        <v>0.4</v>
      </c>
      <c r="Q1357">
        <v>111.4</v>
      </c>
      <c r="R1357"/>
      <c r="S1357"/>
      <c r="T1357"/>
      <c r="U1357"/>
      <c r="V1357"/>
      <c r="W1357">
        <v>18</v>
      </c>
    </row>
    <row r="1358" spans="1:23">
      <c r="A1358"/>
      <c r="B1358" t="s">
        <v>61</v>
      </c>
      <c r="C1358" t="s">
        <v>61</v>
      </c>
      <c r="D1358" t="s">
        <v>33</v>
      </c>
      <c r="E1358" t="s">
        <v>34</v>
      </c>
      <c r="F1358" t="str">
        <f>"0001672"</f>
        <v>0001672</v>
      </c>
      <c r="G1358">
        <v>1</v>
      </c>
      <c r="H1358" t="str">
        <f>"00000000"</f>
        <v>00000000</v>
      </c>
      <c r="I1358" t="s">
        <v>35</v>
      </c>
      <c r="J1358"/>
      <c r="K1358">
        <v>32.72</v>
      </c>
      <c r="L1358">
        <v>0.0</v>
      </c>
      <c r="M1358"/>
      <c r="N1358"/>
      <c r="O1358">
        <v>5.89</v>
      </c>
      <c r="P1358">
        <v>0.2</v>
      </c>
      <c r="Q1358">
        <v>38.81</v>
      </c>
      <c r="R1358"/>
      <c r="S1358"/>
      <c r="T1358"/>
      <c r="U1358"/>
      <c r="V1358"/>
      <c r="W1358">
        <v>18</v>
      </c>
    </row>
    <row r="1359" spans="1:23">
      <c r="A1359"/>
      <c r="B1359" t="s">
        <v>61</v>
      </c>
      <c r="C1359" t="s">
        <v>61</v>
      </c>
      <c r="D1359" t="s">
        <v>33</v>
      </c>
      <c r="E1359" t="s">
        <v>34</v>
      </c>
      <c r="F1359" t="str">
        <f>"0001673"</f>
        <v>0001673</v>
      </c>
      <c r="G1359">
        <v>1</v>
      </c>
      <c r="H1359" t="str">
        <f>"00000000"</f>
        <v>00000000</v>
      </c>
      <c r="I1359" t="s">
        <v>35</v>
      </c>
      <c r="J1359"/>
      <c r="K1359">
        <v>8.01</v>
      </c>
      <c r="L1359">
        <v>0.0</v>
      </c>
      <c r="M1359"/>
      <c r="N1359"/>
      <c r="O1359">
        <v>1.44</v>
      </c>
      <c r="P1359">
        <v>0.2</v>
      </c>
      <c r="Q1359">
        <v>9.65</v>
      </c>
      <c r="R1359"/>
      <c r="S1359"/>
      <c r="T1359"/>
      <c r="U1359"/>
      <c r="V1359"/>
      <c r="W1359">
        <v>18</v>
      </c>
    </row>
    <row r="1360" spans="1:23">
      <c r="A1360"/>
      <c r="B1360" t="s">
        <v>61</v>
      </c>
      <c r="C1360" t="s">
        <v>61</v>
      </c>
      <c r="D1360" t="s">
        <v>33</v>
      </c>
      <c r="E1360" t="s">
        <v>34</v>
      </c>
      <c r="F1360" t="str">
        <f>"0001674"</f>
        <v>0001674</v>
      </c>
      <c r="G1360">
        <v>1</v>
      </c>
      <c r="H1360" t="str">
        <f>"00000000"</f>
        <v>00000000</v>
      </c>
      <c r="I1360" t="s">
        <v>35</v>
      </c>
      <c r="J1360"/>
      <c r="K1360">
        <v>60.92</v>
      </c>
      <c r="L1360">
        <v>0.0</v>
      </c>
      <c r="M1360"/>
      <c r="N1360"/>
      <c r="O1360">
        <v>10.96</v>
      </c>
      <c r="P1360">
        <v>0.6</v>
      </c>
      <c r="Q1360">
        <v>72.48</v>
      </c>
      <c r="R1360"/>
      <c r="S1360"/>
      <c r="T1360"/>
      <c r="U1360"/>
      <c r="V1360"/>
      <c r="W1360">
        <v>18</v>
      </c>
    </row>
    <row r="1361" spans="1:23">
      <c r="A1361"/>
      <c r="B1361" t="s">
        <v>61</v>
      </c>
      <c r="C1361" t="s">
        <v>61</v>
      </c>
      <c r="D1361" t="s">
        <v>33</v>
      </c>
      <c r="E1361" t="s">
        <v>34</v>
      </c>
      <c r="F1361" t="str">
        <f>"0001675"</f>
        <v>0001675</v>
      </c>
      <c r="G1361">
        <v>1</v>
      </c>
      <c r="H1361" t="str">
        <f>"00000000"</f>
        <v>00000000</v>
      </c>
      <c r="I1361" t="s">
        <v>35</v>
      </c>
      <c r="J1361"/>
      <c r="K1361">
        <v>5.03</v>
      </c>
      <c r="L1361">
        <v>0.0</v>
      </c>
      <c r="M1361"/>
      <c r="N1361"/>
      <c r="O1361">
        <v>0.91</v>
      </c>
      <c r="P1361">
        <v>0.0</v>
      </c>
      <c r="Q1361">
        <v>5.94</v>
      </c>
      <c r="R1361"/>
      <c r="S1361"/>
      <c r="T1361"/>
      <c r="U1361"/>
      <c r="V1361"/>
      <c r="W1361">
        <v>18</v>
      </c>
    </row>
    <row r="1362" spans="1:23">
      <c r="A1362"/>
      <c r="B1362" t="s">
        <v>61</v>
      </c>
      <c r="C1362" t="s">
        <v>61</v>
      </c>
      <c r="D1362" t="s">
        <v>33</v>
      </c>
      <c r="E1362" t="s">
        <v>34</v>
      </c>
      <c r="F1362" t="str">
        <f>"0001676"</f>
        <v>0001676</v>
      </c>
      <c r="G1362">
        <v>1</v>
      </c>
      <c r="H1362" t="str">
        <f>"00000000"</f>
        <v>00000000</v>
      </c>
      <c r="I1362" t="s">
        <v>35</v>
      </c>
      <c r="J1362"/>
      <c r="K1362">
        <v>33.6</v>
      </c>
      <c r="L1362">
        <v>0.0</v>
      </c>
      <c r="M1362"/>
      <c r="N1362"/>
      <c r="O1362">
        <v>6.05</v>
      </c>
      <c r="P1362">
        <v>0.2</v>
      </c>
      <c r="Q1362">
        <v>39.85</v>
      </c>
      <c r="R1362"/>
      <c r="S1362"/>
      <c r="T1362"/>
      <c r="U1362"/>
      <c r="V1362"/>
      <c r="W1362">
        <v>18</v>
      </c>
    </row>
    <row r="1363" spans="1:23">
      <c r="A1363"/>
      <c r="B1363" t="s">
        <v>61</v>
      </c>
      <c r="C1363" t="s">
        <v>61</v>
      </c>
      <c r="D1363" t="s">
        <v>33</v>
      </c>
      <c r="E1363" t="s">
        <v>34</v>
      </c>
      <c r="F1363" t="str">
        <f>"0001677"</f>
        <v>0001677</v>
      </c>
      <c r="G1363">
        <v>1</v>
      </c>
      <c r="H1363" t="str">
        <f>"00000000"</f>
        <v>00000000</v>
      </c>
      <c r="I1363" t="s">
        <v>35</v>
      </c>
      <c r="J1363"/>
      <c r="K1363">
        <v>4.31</v>
      </c>
      <c r="L1363">
        <v>0.0</v>
      </c>
      <c r="M1363"/>
      <c r="N1363"/>
      <c r="O1363">
        <v>0.78</v>
      </c>
      <c r="P1363">
        <v>0.2</v>
      </c>
      <c r="Q1363">
        <v>5.29</v>
      </c>
      <c r="R1363"/>
      <c r="S1363"/>
      <c r="T1363"/>
      <c r="U1363"/>
      <c r="V1363"/>
      <c r="W1363">
        <v>18</v>
      </c>
    </row>
    <row r="1364" spans="1:23">
      <c r="A1364"/>
      <c r="B1364" t="s">
        <v>61</v>
      </c>
      <c r="C1364" t="s">
        <v>61</v>
      </c>
      <c r="D1364" t="s">
        <v>33</v>
      </c>
      <c r="E1364" t="s">
        <v>34</v>
      </c>
      <c r="F1364" t="str">
        <f>"0001678"</f>
        <v>0001678</v>
      </c>
      <c r="G1364">
        <v>1</v>
      </c>
      <c r="H1364" t="str">
        <f>"00000000"</f>
        <v>00000000</v>
      </c>
      <c r="I1364" t="s">
        <v>35</v>
      </c>
      <c r="J1364"/>
      <c r="K1364">
        <v>0.85</v>
      </c>
      <c r="L1364">
        <v>0.0</v>
      </c>
      <c r="M1364"/>
      <c r="N1364"/>
      <c r="O1364">
        <v>0.15</v>
      </c>
      <c r="P1364">
        <v>0.0</v>
      </c>
      <c r="Q1364">
        <v>1.0</v>
      </c>
      <c r="R1364"/>
      <c r="S1364"/>
      <c r="T1364"/>
      <c r="U1364"/>
      <c r="V1364"/>
      <c r="W1364">
        <v>18</v>
      </c>
    </row>
    <row r="1365" spans="1:23">
      <c r="A1365"/>
      <c r="B1365" t="s">
        <v>61</v>
      </c>
      <c r="C1365" t="s">
        <v>61</v>
      </c>
      <c r="D1365" t="s">
        <v>33</v>
      </c>
      <c r="E1365" t="s">
        <v>34</v>
      </c>
      <c r="F1365" t="str">
        <f>"0001679"</f>
        <v>0001679</v>
      </c>
      <c r="G1365">
        <v>1</v>
      </c>
      <c r="H1365" t="str">
        <f>"00000000"</f>
        <v>00000000</v>
      </c>
      <c r="I1365" t="s">
        <v>35</v>
      </c>
      <c r="J1365"/>
      <c r="K1365">
        <v>1.71</v>
      </c>
      <c r="L1365">
        <v>0.0</v>
      </c>
      <c r="M1365"/>
      <c r="N1365"/>
      <c r="O1365">
        <v>0.31</v>
      </c>
      <c r="P1365">
        <v>0.0</v>
      </c>
      <c r="Q1365">
        <v>2.02</v>
      </c>
      <c r="R1365"/>
      <c r="S1365"/>
      <c r="T1365"/>
      <c r="U1365"/>
      <c r="V1365"/>
      <c r="W1365">
        <v>18</v>
      </c>
    </row>
    <row r="1366" spans="1:23">
      <c r="A1366"/>
      <c r="B1366" t="s">
        <v>61</v>
      </c>
      <c r="C1366" t="s">
        <v>61</v>
      </c>
      <c r="D1366" t="s">
        <v>33</v>
      </c>
      <c r="E1366" t="s">
        <v>34</v>
      </c>
      <c r="F1366" t="str">
        <f>"0001680"</f>
        <v>0001680</v>
      </c>
      <c r="G1366">
        <v>1</v>
      </c>
      <c r="H1366" t="str">
        <f>"00000000"</f>
        <v>00000000</v>
      </c>
      <c r="I1366" t="s">
        <v>35</v>
      </c>
      <c r="J1366"/>
      <c r="K1366">
        <v>91.99</v>
      </c>
      <c r="L1366">
        <v>0.0</v>
      </c>
      <c r="M1366"/>
      <c r="N1366"/>
      <c r="O1366">
        <v>16.56</v>
      </c>
      <c r="P1366">
        <v>0.0</v>
      </c>
      <c r="Q1366">
        <v>108.54</v>
      </c>
      <c r="R1366"/>
      <c r="S1366"/>
      <c r="T1366"/>
      <c r="U1366"/>
      <c r="V1366"/>
      <c r="W1366">
        <v>18</v>
      </c>
    </row>
    <row r="1367" spans="1:23">
      <c r="A1367"/>
      <c r="B1367" t="s">
        <v>61</v>
      </c>
      <c r="C1367" t="s">
        <v>61</v>
      </c>
      <c r="D1367" t="s">
        <v>33</v>
      </c>
      <c r="E1367" t="s">
        <v>34</v>
      </c>
      <c r="F1367" t="str">
        <f>"0001681"</f>
        <v>0001681</v>
      </c>
      <c r="G1367">
        <v>1</v>
      </c>
      <c r="H1367" t="str">
        <f>"00000000"</f>
        <v>00000000</v>
      </c>
      <c r="I1367" t="s">
        <v>35</v>
      </c>
      <c r="J1367"/>
      <c r="K1367">
        <v>5.08</v>
      </c>
      <c r="L1367">
        <v>0.0</v>
      </c>
      <c r="M1367"/>
      <c r="N1367"/>
      <c r="O1367">
        <v>0.92</v>
      </c>
      <c r="P1367">
        <v>0.0</v>
      </c>
      <c r="Q1367">
        <v>6.0</v>
      </c>
      <c r="R1367"/>
      <c r="S1367"/>
      <c r="T1367"/>
      <c r="U1367"/>
      <c r="V1367"/>
      <c r="W1367">
        <v>18</v>
      </c>
    </row>
    <row r="1368" spans="1:23">
      <c r="A1368"/>
      <c r="B1368" t="s">
        <v>61</v>
      </c>
      <c r="C1368" t="s">
        <v>61</v>
      </c>
      <c r="D1368" t="s">
        <v>33</v>
      </c>
      <c r="E1368" t="s">
        <v>34</v>
      </c>
      <c r="F1368" t="str">
        <f>"0001682"</f>
        <v>0001682</v>
      </c>
      <c r="G1368">
        <v>1</v>
      </c>
      <c r="H1368" t="str">
        <f>"00000000"</f>
        <v>00000000</v>
      </c>
      <c r="I1368" t="s">
        <v>35</v>
      </c>
      <c r="J1368"/>
      <c r="K1368">
        <v>7.19</v>
      </c>
      <c r="L1368">
        <v>0.0</v>
      </c>
      <c r="M1368"/>
      <c r="N1368"/>
      <c r="O1368">
        <v>1.29</v>
      </c>
      <c r="P1368">
        <v>0.0</v>
      </c>
      <c r="Q1368">
        <v>8.49</v>
      </c>
      <c r="R1368"/>
      <c r="S1368"/>
      <c r="T1368"/>
      <c r="U1368"/>
      <c r="V1368"/>
      <c r="W1368">
        <v>18</v>
      </c>
    </row>
    <row r="1369" spans="1:23">
      <c r="A1369"/>
      <c r="B1369" t="s">
        <v>61</v>
      </c>
      <c r="C1369" t="s">
        <v>61</v>
      </c>
      <c r="D1369" t="s">
        <v>33</v>
      </c>
      <c r="E1369" t="s">
        <v>34</v>
      </c>
      <c r="F1369" t="str">
        <f>"0001683"</f>
        <v>0001683</v>
      </c>
      <c r="G1369">
        <v>1</v>
      </c>
      <c r="H1369" t="str">
        <f>"00000000"</f>
        <v>00000000</v>
      </c>
      <c r="I1369" t="s">
        <v>35</v>
      </c>
      <c r="J1369"/>
      <c r="K1369">
        <v>9.27</v>
      </c>
      <c r="L1369">
        <v>0.0</v>
      </c>
      <c r="M1369"/>
      <c r="N1369"/>
      <c r="O1369">
        <v>1.67</v>
      </c>
      <c r="P1369">
        <v>0.2</v>
      </c>
      <c r="Q1369">
        <v>11.14</v>
      </c>
      <c r="R1369"/>
      <c r="S1369"/>
      <c r="T1369"/>
      <c r="U1369"/>
      <c r="V1369"/>
      <c r="W1369">
        <v>18</v>
      </c>
    </row>
    <row r="1370" spans="1:23">
      <c r="A1370"/>
      <c r="B1370" t="s">
        <v>61</v>
      </c>
      <c r="C1370" t="s">
        <v>61</v>
      </c>
      <c r="D1370" t="s">
        <v>33</v>
      </c>
      <c r="E1370" t="s">
        <v>34</v>
      </c>
      <c r="F1370" t="str">
        <f>"0001684"</f>
        <v>0001684</v>
      </c>
      <c r="G1370">
        <v>1</v>
      </c>
      <c r="H1370" t="str">
        <f>"00000000"</f>
        <v>00000000</v>
      </c>
      <c r="I1370" t="s">
        <v>35</v>
      </c>
      <c r="J1370"/>
      <c r="K1370">
        <v>8.81</v>
      </c>
      <c r="L1370">
        <v>0.0</v>
      </c>
      <c r="M1370"/>
      <c r="N1370"/>
      <c r="O1370">
        <v>1.59</v>
      </c>
      <c r="P1370">
        <v>0.0</v>
      </c>
      <c r="Q1370">
        <v>10.39</v>
      </c>
      <c r="R1370"/>
      <c r="S1370"/>
      <c r="T1370"/>
      <c r="U1370"/>
      <c r="V1370"/>
      <c r="W1370">
        <v>18</v>
      </c>
    </row>
    <row r="1371" spans="1:23">
      <c r="A1371"/>
      <c r="B1371" t="s">
        <v>61</v>
      </c>
      <c r="C1371" t="s">
        <v>61</v>
      </c>
      <c r="D1371" t="s">
        <v>33</v>
      </c>
      <c r="E1371" t="s">
        <v>34</v>
      </c>
      <c r="F1371" t="str">
        <f>"0001685"</f>
        <v>0001685</v>
      </c>
      <c r="G1371">
        <v>1</v>
      </c>
      <c r="H1371" t="str">
        <f>"00000000"</f>
        <v>00000000</v>
      </c>
      <c r="I1371" t="s">
        <v>35</v>
      </c>
      <c r="J1371"/>
      <c r="K1371">
        <v>9.75</v>
      </c>
      <c r="L1371">
        <v>0.0</v>
      </c>
      <c r="M1371"/>
      <c r="N1371"/>
      <c r="O1371">
        <v>1.75</v>
      </c>
      <c r="P1371">
        <v>0.0</v>
      </c>
      <c r="Q1371">
        <v>11.5</v>
      </c>
      <c r="R1371"/>
      <c r="S1371"/>
      <c r="T1371"/>
      <c r="U1371"/>
      <c r="V1371"/>
      <c r="W1371">
        <v>18</v>
      </c>
    </row>
    <row r="1372" spans="1:23">
      <c r="A1372"/>
      <c r="B1372" t="s">
        <v>61</v>
      </c>
      <c r="C1372" t="s">
        <v>61</v>
      </c>
      <c r="D1372" t="s">
        <v>33</v>
      </c>
      <c r="E1372" t="s">
        <v>34</v>
      </c>
      <c r="F1372" t="str">
        <f>"0001686"</f>
        <v>0001686</v>
      </c>
      <c r="G1372">
        <v>1</v>
      </c>
      <c r="H1372" t="str">
        <f>"00000000"</f>
        <v>00000000</v>
      </c>
      <c r="I1372" t="s">
        <v>35</v>
      </c>
      <c r="J1372"/>
      <c r="K1372">
        <v>32.59</v>
      </c>
      <c r="L1372">
        <v>0.0</v>
      </c>
      <c r="M1372"/>
      <c r="N1372"/>
      <c r="O1372">
        <v>5.87</v>
      </c>
      <c r="P1372">
        <v>0.0</v>
      </c>
      <c r="Q1372">
        <v>38.45</v>
      </c>
      <c r="R1372"/>
      <c r="S1372"/>
      <c r="T1372"/>
      <c r="U1372"/>
      <c r="V1372"/>
      <c r="W1372">
        <v>18</v>
      </c>
    </row>
    <row r="1373" spans="1:23">
      <c r="A1373"/>
      <c r="B1373" t="s">
        <v>61</v>
      </c>
      <c r="C1373" t="s">
        <v>61</v>
      </c>
      <c r="D1373" t="s">
        <v>33</v>
      </c>
      <c r="E1373" t="s">
        <v>34</v>
      </c>
      <c r="F1373" t="str">
        <f>"0001687"</f>
        <v>0001687</v>
      </c>
      <c r="G1373">
        <v>1</v>
      </c>
      <c r="H1373" t="str">
        <f>"00000000"</f>
        <v>00000000</v>
      </c>
      <c r="I1373" t="s">
        <v>35</v>
      </c>
      <c r="J1373"/>
      <c r="K1373">
        <v>20.8</v>
      </c>
      <c r="L1373">
        <v>0.0</v>
      </c>
      <c r="M1373"/>
      <c r="N1373"/>
      <c r="O1373">
        <v>3.74</v>
      </c>
      <c r="P1373">
        <v>0.2</v>
      </c>
      <c r="Q1373">
        <v>24.74</v>
      </c>
      <c r="R1373"/>
      <c r="S1373"/>
      <c r="T1373"/>
      <c r="U1373"/>
      <c r="V1373"/>
      <c r="W1373">
        <v>18</v>
      </c>
    </row>
    <row r="1374" spans="1:23">
      <c r="A1374"/>
      <c r="B1374" t="s">
        <v>61</v>
      </c>
      <c r="C1374" t="s">
        <v>61</v>
      </c>
      <c r="D1374" t="s">
        <v>33</v>
      </c>
      <c r="E1374" t="s">
        <v>34</v>
      </c>
      <c r="F1374" t="str">
        <f>"0001688"</f>
        <v>0001688</v>
      </c>
      <c r="G1374">
        <v>1</v>
      </c>
      <c r="H1374" t="str">
        <f>"00000000"</f>
        <v>00000000</v>
      </c>
      <c r="I1374" t="s">
        <v>35</v>
      </c>
      <c r="J1374"/>
      <c r="K1374">
        <v>30.93</v>
      </c>
      <c r="L1374">
        <v>0.0</v>
      </c>
      <c r="M1374"/>
      <c r="N1374"/>
      <c r="O1374">
        <v>5.57</v>
      </c>
      <c r="P1374">
        <v>0.0</v>
      </c>
      <c r="Q1374">
        <v>36.5</v>
      </c>
      <c r="R1374"/>
      <c r="S1374"/>
      <c r="T1374"/>
      <c r="U1374"/>
      <c r="V1374"/>
      <c r="W1374">
        <v>18</v>
      </c>
    </row>
    <row r="1375" spans="1:23">
      <c r="A1375"/>
      <c r="B1375" t="s">
        <v>61</v>
      </c>
      <c r="C1375" t="s">
        <v>61</v>
      </c>
      <c r="D1375" t="s">
        <v>33</v>
      </c>
      <c r="E1375" t="s">
        <v>34</v>
      </c>
      <c r="F1375" t="str">
        <f>"0001689"</f>
        <v>0001689</v>
      </c>
      <c r="G1375">
        <v>1</v>
      </c>
      <c r="H1375" t="str">
        <f>"00000000"</f>
        <v>00000000</v>
      </c>
      <c r="I1375" t="s">
        <v>35</v>
      </c>
      <c r="J1375"/>
      <c r="K1375">
        <v>11.85</v>
      </c>
      <c r="L1375">
        <v>0.0</v>
      </c>
      <c r="M1375"/>
      <c r="N1375"/>
      <c r="O1375">
        <v>2.13</v>
      </c>
      <c r="P1375">
        <v>0.0</v>
      </c>
      <c r="Q1375">
        <v>13.98</v>
      </c>
      <c r="R1375"/>
      <c r="S1375"/>
      <c r="T1375"/>
      <c r="U1375"/>
      <c r="V1375"/>
      <c r="W1375">
        <v>18</v>
      </c>
    </row>
    <row r="1376" spans="1:23">
      <c r="A1376"/>
      <c r="B1376" t="s">
        <v>61</v>
      </c>
      <c r="C1376" t="s">
        <v>61</v>
      </c>
      <c r="D1376" t="s">
        <v>33</v>
      </c>
      <c r="E1376" t="s">
        <v>34</v>
      </c>
      <c r="F1376" t="str">
        <f>"0001690"</f>
        <v>0001690</v>
      </c>
      <c r="G1376">
        <v>1</v>
      </c>
      <c r="H1376" t="str">
        <f>"00000000"</f>
        <v>00000000</v>
      </c>
      <c r="I1376" t="s">
        <v>35</v>
      </c>
      <c r="J1376"/>
      <c r="K1376">
        <v>12.88</v>
      </c>
      <c r="L1376">
        <v>0.0</v>
      </c>
      <c r="M1376"/>
      <c r="N1376"/>
      <c r="O1376">
        <v>2.32</v>
      </c>
      <c r="P1376">
        <v>0.0</v>
      </c>
      <c r="Q1376">
        <v>15.2</v>
      </c>
      <c r="R1376"/>
      <c r="S1376"/>
      <c r="T1376"/>
      <c r="U1376"/>
      <c r="V1376"/>
      <c r="W1376">
        <v>18</v>
      </c>
    </row>
    <row r="1377" spans="1:23">
      <c r="A1377"/>
      <c r="B1377" t="s">
        <v>61</v>
      </c>
      <c r="C1377" t="s">
        <v>61</v>
      </c>
      <c r="D1377" t="s">
        <v>33</v>
      </c>
      <c r="E1377" t="s">
        <v>34</v>
      </c>
      <c r="F1377" t="str">
        <f>"0001691"</f>
        <v>0001691</v>
      </c>
      <c r="G1377">
        <v>1</v>
      </c>
      <c r="H1377" t="str">
        <f>"00000000"</f>
        <v>00000000</v>
      </c>
      <c r="I1377" t="s">
        <v>35</v>
      </c>
      <c r="J1377"/>
      <c r="K1377">
        <v>7.47</v>
      </c>
      <c r="L1377">
        <v>0.0</v>
      </c>
      <c r="M1377"/>
      <c r="N1377"/>
      <c r="O1377">
        <v>1.34</v>
      </c>
      <c r="P1377">
        <v>0.0</v>
      </c>
      <c r="Q1377">
        <v>8.81</v>
      </c>
      <c r="R1377"/>
      <c r="S1377"/>
      <c r="T1377"/>
      <c r="U1377"/>
      <c r="V1377"/>
      <c r="W1377">
        <v>18</v>
      </c>
    </row>
    <row r="1378" spans="1:23">
      <c r="A1378"/>
      <c r="B1378" t="s">
        <v>61</v>
      </c>
      <c r="C1378" t="s">
        <v>61</v>
      </c>
      <c r="D1378" t="s">
        <v>33</v>
      </c>
      <c r="E1378" t="s">
        <v>34</v>
      </c>
      <c r="F1378" t="str">
        <f>"0001692"</f>
        <v>0001692</v>
      </c>
      <c r="G1378">
        <v>1</v>
      </c>
      <c r="H1378" t="str">
        <f>"00000000"</f>
        <v>00000000</v>
      </c>
      <c r="I1378" t="s">
        <v>35</v>
      </c>
      <c r="J1378"/>
      <c r="K1378">
        <v>5.35</v>
      </c>
      <c r="L1378">
        <v>0.0</v>
      </c>
      <c r="M1378"/>
      <c r="N1378"/>
      <c r="O1378">
        <v>0.96</v>
      </c>
      <c r="P1378">
        <v>0.0</v>
      </c>
      <c r="Q1378">
        <v>6.31</v>
      </c>
      <c r="R1378"/>
      <c r="S1378"/>
      <c r="T1378"/>
      <c r="U1378"/>
      <c r="V1378"/>
      <c r="W1378">
        <v>18</v>
      </c>
    </row>
    <row r="1379" spans="1:23">
      <c r="A1379"/>
      <c r="B1379" t="s">
        <v>61</v>
      </c>
      <c r="C1379" t="s">
        <v>61</v>
      </c>
      <c r="D1379" t="s">
        <v>33</v>
      </c>
      <c r="E1379" t="s">
        <v>34</v>
      </c>
      <c r="F1379" t="str">
        <f>"0001693"</f>
        <v>0001693</v>
      </c>
      <c r="G1379">
        <v>1</v>
      </c>
      <c r="H1379" t="str">
        <f>"00000000"</f>
        <v>00000000</v>
      </c>
      <c r="I1379" t="s">
        <v>35</v>
      </c>
      <c r="J1379"/>
      <c r="K1379">
        <v>0.85</v>
      </c>
      <c r="L1379">
        <v>0.0</v>
      </c>
      <c r="M1379"/>
      <c r="N1379"/>
      <c r="O1379">
        <v>0.15</v>
      </c>
      <c r="P1379">
        <v>0.0</v>
      </c>
      <c r="Q1379">
        <v>1.0</v>
      </c>
      <c r="R1379"/>
      <c r="S1379"/>
      <c r="T1379"/>
      <c r="U1379"/>
      <c r="V1379"/>
      <c r="W1379">
        <v>18</v>
      </c>
    </row>
    <row r="1380" spans="1:23">
      <c r="A1380"/>
      <c r="B1380" t="s">
        <v>61</v>
      </c>
      <c r="C1380" t="s">
        <v>61</v>
      </c>
      <c r="D1380" t="s">
        <v>33</v>
      </c>
      <c r="E1380" t="s">
        <v>34</v>
      </c>
      <c r="F1380" t="str">
        <f>"0001694"</f>
        <v>0001694</v>
      </c>
      <c r="G1380">
        <v>1</v>
      </c>
      <c r="H1380" t="str">
        <f>"00000000"</f>
        <v>00000000</v>
      </c>
      <c r="I1380" t="s">
        <v>35</v>
      </c>
      <c r="J1380"/>
      <c r="K1380">
        <v>3.81</v>
      </c>
      <c r="L1380">
        <v>0.0</v>
      </c>
      <c r="M1380"/>
      <c r="N1380"/>
      <c r="O1380">
        <v>0.69</v>
      </c>
      <c r="P1380">
        <v>0.0</v>
      </c>
      <c r="Q1380">
        <v>4.5</v>
      </c>
      <c r="R1380"/>
      <c r="S1380"/>
      <c r="T1380"/>
      <c r="U1380"/>
      <c r="V1380"/>
      <c r="W1380">
        <v>18</v>
      </c>
    </row>
    <row r="1381" spans="1:23">
      <c r="A1381"/>
      <c r="B1381" t="s">
        <v>61</v>
      </c>
      <c r="C1381" t="s">
        <v>61</v>
      </c>
      <c r="D1381" t="s">
        <v>33</v>
      </c>
      <c r="E1381" t="s">
        <v>34</v>
      </c>
      <c r="F1381" t="str">
        <f>"0001695"</f>
        <v>0001695</v>
      </c>
      <c r="G1381">
        <v>1</v>
      </c>
      <c r="H1381" t="str">
        <f>"00000000"</f>
        <v>00000000</v>
      </c>
      <c r="I1381" t="s">
        <v>35</v>
      </c>
      <c r="J1381"/>
      <c r="K1381">
        <v>3.81</v>
      </c>
      <c r="L1381">
        <v>0.0</v>
      </c>
      <c r="M1381"/>
      <c r="N1381"/>
      <c r="O1381">
        <v>0.69</v>
      </c>
      <c r="P1381">
        <v>0.0</v>
      </c>
      <c r="Q1381">
        <v>4.5</v>
      </c>
      <c r="R1381"/>
      <c r="S1381"/>
      <c r="T1381"/>
      <c r="U1381"/>
      <c r="V1381"/>
      <c r="W1381">
        <v>18</v>
      </c>
    </row>
    <row r="1382" spans="1:23">
      <c r="A1382"/>
      <c r="B1382" t="s">
        <v>61</v>
      </c>
      <c r="C1382" t="s">
        <v>61</v>
      </c>
      <c r="D1382" t="s">
        <v>33</v>
      </c>
      <c r="E1382" t="s">
        <v>34</v>
      </c>
      <c r="F1382" t="str">
        <f>"0001696"</f>
        <v>0001696</v>
      </c>
      <c r="G1382">
        <v>1</v>
      </c>
      <c r="H1382" t="str">
        <f>"00000000"</f>
        <v>00000000</v>
      </c>
      <c r="I1382" t="s">
        <v>35</v>
      </c>
      <c r="J1382"/>
      <c r="K1382">
        <v>2.97</v>
      </c>
      <c r="L1382">
        <v>0.0</v>
      </c>
      <c r="M1382"/>
      <c r="N1382"/>
      <c r="O1382">
        <v>0.53</v>
      </c>
      <c r="P1382">
        <v>0.0</v>
      </c>
      <c r="Q1382">
        <v>3.5</v>
      </c>
      <c r="R1382"/>
      <c r="S1382"/>
      <c r="T1382"/>
      <c r="U1382"/>
      <c r="V1382"/>
      <c r="W1382">
        <v>18</v>
      </c>
    </row>
    <row r="1383" spans="1:23">
      <c r="A1383"/>
      <c r="B1383" t="s">
        <v>61</v>
      </c>
      <c r="C1383" t="s">
        <v>61</v>
      </c>
      <c r="D1383" t="s">
        <v>33</v>
      </c>
      <c r="E1383" t="s">
        <v>34</v>
      </c>
      <c r="F1383" t="str">
        <f>"0001697"</f>
        <v>0001697</v>
      </c>
      <c r="G1383">
        <v>1</v>
      </c>
      <c r="H1383" t="str">
        <f>"00000000"</f>
        <v>00000000</v>
      </c>
      <c r="I1383" t="s">
        <v>35</v>
      </c>
      <c r="J1383"/>
      <c r="K1383">
        <v>3.81</v>
      </c>
      <c r="L1383">
        <v>0.0</v>
      </c>
      <c r="M1383"/>
      <c r="N1383"/>
      <c r="O1383">
        <v>0.69</v>
      </c>
      <c r="P1383">
        <v>0.0</v>
      </c>
      <c r="Q1383">
        <v>4.5</v>
      </c>
      <c r="R1383"/>
      <c r="S1383"/>
      <c r="T1383"/>
      <c r="U1383"/>
      <c r="V1383"/>
      <c r="W1383">
        <v>18</v>
      </c>
    </row>
    <row r="1384" spans="1:23">
      <c r="A1384"/>
      <c r="B1384" t="s">
        <v>61</v>
      </c>
      <c r="C1384" t="s">
        <v>61</v>
      </c>
      <c r="D1384" t="s">
        <v>33</v>
      </c>
      <c r="E1384" t="s">
        <v>34</v>
      </c>
      <c r="F1384" t="str">
        <f>"0001698"</f>
        <v>0001698</v>
      </c>
      <c r="G1384">
        <v>1</v>
      </c>
      <c r="H1384" t="str">
        <f>"00000000"</f>
        <v>00000000</v>
      </c>
      <c r="I1384" t="s">
        <v>35</v>
      </c>
      <c r="J1384"/>
      <c r="K1384">
        <v>5.51</v>
      </c>
      <c r="L1384">
        <v>0.0</v>
      </c>
      <c r="M1384"/>
      <c r="N1384"/>
      <c r="O1384">
        <v>0.99</v>
      </c>
      <c r="P1384">
        <v>0.0</v>
      </c>
      <c r="Q1384">
        <v>6.5</v>
      </c>
      <c r="R1384"/>
      <c r="S1384"/>
      <c r="T1384"/>
      <c r="U1384"/>
      <c r="V1384"/>
      <c r="W1384">
        <v>18</v>
      </c>
    </row>
    <row r="1385" spans="1:23">
      <c r="A1385"/>
      <c r="B1385" t="s">
        <v>61</v>
      </c>
      <c r="C1385" t="s">
        <v>61</v>
      </c>
      <c r="D1385" t="s">
        <v>33</v>
      </c>
      <c r="E1385" t="s">
        <v>34</v>
      </c>
      <c r="F1385" t="str">
        <f>"0001699"</f>
        <v>0001699</v>
      </c>
      <c r="G1385">
        <v>1</v>
      </c>
      <c r="H1385" t="str">
        <f>"00000000"</f>
        <v>00000000</v>
      </c>
      <c r="I1385" t="s">
        <v>35</v>
      </c>
      <c r="J1385"/>
      <c r="K1385">
        <v>24.32</v>
      </c>
      <c r="L1385">
        <v>0.0</v>
      </c>
      <c r="M1385"/>
      <c r="N1385"/>
      <c r="O1385">
        <v>4.38</v>
      </c>
      <c r="P1385">
        <v>0.2</v>
      </c>
      <c r="Q1385">
        <v>28.9</v>
      </c>
      <c r="R1385"/>
      <c r="S1385"/>
      <c r="T1385"/>
      <c r="U1385"/>
      <c r="V1385"/>
      <c r="W1385">
        <v>18</v>
      </c>
    </row>
    <row r="1386" spans="1:23">
      <c r="A1386"/>
      <c r="B1386" t="s">
        <v>61</v>
      </c>
      <c r="C1386" t="s">
        <v>61</v>
      </c>
      <c r="D1386" t="s">
        <v>33</v>
      </c>
      <c r="E1386" t="s">
        <v>34</v>
      </c>
      <c r="F1386" t="str">
        <f>"0001700"</f>
        <v>0001700</v>
      </c>
      <c r="G1386">
        <v>1</v>
      </c>
      <c r="H1386" t="str">
        <f>"00000000"</f>
        <v>00000000</v>
      </c>
      <c r="I1386" t="s">
        <v>35</v>
      </c>
      <c r="J1386"/>
      <c r="K1386">
        <v>13.08</v>
      </c>
      <c r="L1386">
        <v>0.0</v>
      </c>
      <c r="M1386"/>
      <c r="N1386"/>
      <c r="O1386">
        <v>2.35</v>
      </c>
      <c r="P1386">
        <v>0.2</v>
      </c>
      <c r="Q1386">
        <v>15.64</v>
      </c>
      <c r="R1386"/>
      <c r="S1386"/>
      <c r="T1386"/>
      <c r="U1386"/>
      <c r="V1386"/>
      <c r="W1386">
        <v>18</v>
      </c>
    </row>
    <row r="1387" spans="1:23">
      <c r="A1387"/>
      <c r="B1387" t="s">
        <v>61</v>
      </c>
      <c r="C1387" t="s">
        <v>61</v>
      </c>
      <c r="D1387" t="s">
        <v>33</v>
      </c>
      <c r="E1387" t="s">
        <v>34</v>
      </c>
      <c r="F1387" t="str">
        <f>"0001701"</f>
        <v>0001701</v>
      </c>
      <c r="G1387">
        <v>1</v>
      </c>
      <c r="H1387" t="str">
        <f>"00000000"</f>
        <v>00000000</v>
      </c>
      <c r="I1387" t="s">
        <v>35</v>
      </c>
      <c r="J1387"/>
      <c r="K1387">
        <v>6.68</v>
      </c>
      <c r="L1387">
        <v>0.0</v>
      </c>
      <c r="M1387"/>
      <c r="N1387"/>
      <c r="O1387">
        <v>1.2</v>
      </c>
      <c r="P1387">
        <v>0.0</v>
      </c>
      <c r="Q1387">
        <v>7.89</v>
      </c>
      <c r="R1387"/>
      <c r="S1387"/>
      <c r="T1387"/>
      <c r="U1387"/>
      <c r="V1387"/>
      <c r="W1387">
        <v>18</v>
      </c>
    </row>
    <row r="1388" spans="1:23">
      <c r="A1388"/>
      <c r="B1388" t="s">
        <v>61</v>
      </c>
      <c r="C1388" t="s">
        <v>61</v>
      </c>
      <c r="D1388" t="s">
        <v>33</v>
      </c>
      <c r="E1388" t="s">
        <v>34</v>
      </c>
      <c r="F1388" t="str">
        <f>"0001702"</f>
        <v>0001702</v>
      </c>
      <c r="G1388">
        <v>1</v>
      </c>
      <c r="H1388" t="str">
        <f>"00000000"</f>
        <v>00000000</v>
      </c>
      <c r="I1388" t="s">
        <v>35</v>
      </c>
      <c r="J1388"/>
      <c r="K1388">
        <v>102.07</v>
      </c>
      <c r="L1388">
        <v>0.0</v>
      </c>
      <c r="M1388"/>
      <c r="N1388"/>
      <c r="O1388">
        <v>18.37</v>
      </c>
      <c r="P1388">
        <v>0.6</v>
      </c>
      <c r="Q1388">
        <v>121.05</v>
      </c>
      <c r="R1388"/>
      <c r="S1388"/>
      <c r="T1388"/>
      <c r="U1388"/>
      <c r="V1388"/>
      <c r="W1388">
        <v>18</v>
      </c>
    </row>
    <row r="1389" spans="1:23">
      <c r="A1389"/>
      <c r="B1389" t="s">
        <v>61</v>
      </c>
      <c r="C1389" t="s">
        <v>61</v>
      </c>
      <c r="D1389" t="s">
        <v>33</v>
      </c>
      <c r="E1389" t="s">
        <v>34</v>
      </c>
      <c r="F1389" t="str">
        <f>"0001703"</f>
        <v>0001703</v>
      </c>
      <c r="G1389">
        <v>1</v>
      </c>
      <c r="H1389" t="str">
        <f>"00000000"</f>
        <v>00000000</v>
      </c>
      <c r="I1389" t="s">
        <v>35</v>
      </c>
      <c r="J1389"/>
      <c r="K1389">
        <v>0.9</v>
      </c>
      <c r="L1389">
        <v>0.0</v>
      </c>
      <c r="M1389"/>
      <c r="N1389"/>
      <c r="O1389">
        <v>0.16</v>
      </c>
      <c r="P1389">
        <v>0.0</v>
      </c>
      <c r="Q1389">
        <v>1.06</v>
      </c>
      <c r="R1389"/>
      <c r="S1389"/>
      <c r="T1389"/>
      <c r="U1389"/>
      <c r="V1389"/>
      <c r="W1389">
        <v>18</v>
      </c>
    </row>
    <row r="1390" spans="1:23">
      <c r="A1390"/>
      <c r="B1390" t="s">
        <v>61</v>
      </c>
      <c r="C1390" t="s">
        <v>61</v>
      </c>
      <c r="D1390" t="s">
        <v>33</v>
      </c>
      <c r="E1390" t="s">
        <v>34</v>
      </c>
      <c r="F1390" t="str">
        <f>"0001704"</f>
        <v>0001704</v>
      </c>
      <c r="G1390">
        <v>1</v>
      </c>
      <c r="H1390" t="str">
        <f>"00000000"</f>
        <v>00000000</v>
      </c>
      <c r="I1390" t="s">
        <v>35</v>
      </c>
      <c r="J1390"/>
      <c r="K1390">
        <v>2.54</v>
      </c>
      <c r="L1390">
        <v>0.0</v>
      </c>
      <c r="M1390"/>
      <c r="N1390"/>
      <c r="O1390">
        <v>0.46</v>
      </c>
      <c r="P1390">
        <v>0.0</v>
      </c>
      <c r="Q1390">
        <v>3.0</v>
      </c>
      <c r="R1390"/>
      <c r="S1390"/>
      <c r="T1390"/>
      <c r="U1390"/>
      <c r="V1390"/>
      <c r="W1390">
        <v>18</v>
      </c>
    </row>
    <row r="1391" spans="1:23">
      <c r="A1391"/>
      <c r="B1391" t="s">
        <v>61</v>
      </c>
      <c r="C1391" t="s">
        <v>61</v>
      </c>
      <c r="D1391" t="s">
        <v>33</v>
      </c>
      <c r="E1391" t="s">
        <v>34</v>
      </c>
      <c r="F1391" t="str">
        <f>"0001705"</f>
        <v>0001705</v>
      </c>
      <c r="G1391">
        <v>1</v>
      </c>
      <c r="H1391" t="str">
        <f>"00000000"</f>
        <v>00000000</v>
      </c>
      <c r="I1391" t="s">
        <v>35</v>
      </c>
      <c r="J1391"/>
      <c r="K1391">
        <v>9.24</v>
      </c>
      <c r="L1391">
        <v>0.0</v>
      </c>
      <c r="M1391"/>
      <c r="N1391"/>
      <c r="O1391">
        <v>1.66</v>
      </c>
      <c r="P1391">
        <v>0.0</v>
      </c>
      <c r="Q1391">
        <v>10.9</v>
      </c>
      <c r="R1391"/>
      <c r="S1391"/>
      <c r="T1391"/>
      <c r="U1391"/>
      <c r="V1391"/>
      <c r="W1391">
        <v>18</v>
      </c>
    </row>
    <row r="1392" spans="1:23">
      <c r="A1392"/>
      <c r="B1392" t="s">
        <v>61</v>
      </c>
      <c r="C1392" t="s">
        <v>61</v>
      </c>
      <c r="D1392" t="s">
        <v>33</v>
      </c>
      <c r="E1392" t="s">
        <v>34</v>
      </c>
      <c r="F1392" t="str">
        <f>"0001706"</f>
        <v>0001706</v>
      </c>
      <c r="G1392">
        <v>1</v>
      </c>
      <c r="H1392" t="str">
        <f>"00000000"</f>
        <v>00000000</v>
      </c>
      <c r="I1392" t="s">
        <v>35</v>
      </c>
      <c r="J1392"/>
      <c r="K1392">
        <v>2.35</v>
      </c>
      <c r="L1392">
        <v>0.0</v>
      </c>
      <c r="M1392"/>
      <c r="N1392"/>
      <c r="O1392">
        <v>0.42</v>
      </c>
      <c r="P1392">
        <v>0.0</v>
      </c>
      <c r="Q1392">
        <v>2.78</v>
      </c>
      <c r="R1392"/>
      <c r="S1392"/>
      <c r="T1392"/>
      <c r="U1392"/>
      <c r="V1392"/>
      <c r="W1392">
        <v>18</v>
      </c>
    </row>
    <row r="1393" spans="1:23">
      <c r="A1393"/>
      <c r="B1393" t="s">
        <v>61</v>
      </c>
      <c r="C1393" t="s">
        <v>61</v>
      </c>
      <c r="D1393" t="s">
        <v>33</v>
      </c>
      <c r="E1393" t="s">
        <v>34</v>
      </c>
      <c r="F1393" t="str">
        <f>"0001707"</f>
        <v>0001707</v>
      </c>
      <c r="G1393">
        <v>1</v>
      </c>
      <c r="H1393" t="str">
        <f>"00000000"</f>
        <v>00000000</v>
      </c>
      <c r="I1393" t="s">
        <v>35</v>
      </c>
      <c r="J1393"/>
      <c r="K1393">
        <v>1.13</v>
      </c>
      <c r="L1393">
        <v>0.0</v>
      </c>
      <c r="M1393"/>
      <c r="N1393"/>
      <c r="O1393">
        <v>0.2</v>
      </c>
      <c r="P1393">
        <v>0.0</v>
      </c>
      <c r="Q1393">
        <v>1.34</v>
      </c>
      <c r="R1393"/>
      <c r="S1393"/>
      <c r="T1393"/>
      <c r="U1393"/>
      <c r="V1393"/>
      <c r="W1393">
        <v>18</v>
      </c>
    </row>
    <row r="1394" spans="1:23">
      <c r="A1394"/>
      <c r="B1394" t="s">
        <v>61</v>
      </c>
      <c r="C1394" t="s">
        <v>61</v>
      </c>
      <c r="D1394" t="s">
        <v>33</v>
      </c>
      <c r="E1394" t="s">
        <v>34</v>
      </c>
      <c r="F1394" t="str">
        <f>"0001708"</f>
        <v>0001708</v>
      </c>
      <c r="G1394">
        <v>1</v>
      </c>
      <c r="H1394" t="str">
        <f>"00000000"</f>
        <v>00000000</v>
      </c>
      <c r="I1394" t="s">
        <v>35</v>
      </c>
      <c r="J1394"/>
      <c r="K1394">
        <v>2.97</v>
      </c>
      <c r="L1394">
        <v>0.0</v>
      </c>
      <c r="M1394"/>
      <c r="N1394"/>
      <c r="O1394">
        <v>0.53</v>
      </c>
      <c r="P1394">
        <v>0.0</v>
      </c>
      <c r="Q1394">
        <v>3.5</v>
      </c>
      <c r="R1394"/>
      <c r="S1394"/>
      <c r="T1394"/>
      <c r="U1394"/>
      <c r="V1394"/>
      <c r="W1394">
        <v>18</v>
      </c>
    </row>
    <row r="1395" spans="1:23">
      <c r="A1395"/>
      <c r="B1395" t="s">
        <v>61</v>
      </c>
      <c r="C1395" t="s">
        <v>61</v>
      </c>
      <c r="D1395" t="s">
        <v>33</v>
      </c>
      <c r="E1395" t="s">
        <v>34</v>
      </c>
      <c r="F1395" t="str">
        <f>"0001709"</f>
        <v>0001709</v>
      </c>
      <c r="G1395">
        <v>1</v>
      </c>
      <c r="H1395" t="str">
        <f>"00000000"</f>
        <v>00000000</v>
      </c>
      <c r="I1395" t="s">
        <v>35</v>
      </c>
      <c r="J1395"/>
      <c r="K1395">
        <v>1.69</v>
      </c>
      <c r="L1395">
        <v>0.0</v>
      </c>
      <c r="M1395"/>
      <c r="N1395"/>
      <c r="O1395">
        <v>0.3</v>
      </c>
      <c r="P1395">
        <v>0.0</v>
      </c>
      <c r="Q1395">
        <v>2.0</v>
      </c>
      <c r="R1395"/>
      <c r="S1395"/>
      <c r="T1395"/>
      <c r="U1395"/>
      <c r="V1395"/>
      <c r="W1395">
        <v>18</v>
      </c>
    </row>
    <row r="1396" spans="1:23">
      <c r="A1396"/>
      <c r="B1396" t="s">
        <v>61</v>
      </c>
      <c r="C1396" t="s">
        <v>61</v>
      </c>
      <c r="D1396" t="s">
        <v>33</v>
      </c>
      <c r="E1396" t="s">
        <v>34</v>
      </c>
      <c r="F1396" t="str">
        <f>"0001710"</f>
        <v>0001710</v>
      </c>
      <c r="G1396">
        <v>1</v>
      </c>
      <c r="H1396" t="str">
        <f>"00000000"</f>
        <v>00000000</v>
      </c>
      <c r="I1396" t="s">
        <v>35</v>
      </c>
      <c r="J1396"/>
      <c r="K1396">
        <v>0.42</v>
      </c>
      <c r="L1396">
        <v>0.0</v>
      </c>
      <c r="M1396"/>
      <c r="N1396"/>
      <c r="O1396">
        <v>0.08</v>
      </c>
      <c r="P1396">
        <v>0.0</v>
      </c>
      <c r="Q1396">
        <v>0.5</v>
      </c>
      <c r="R1396"/>
      <c r="S1396"/>
      <c r="T1396"/>
      <c r="U1396"/>
      <c r="V1396"/>
      <c r="W1396">
        <v>18</v>
      </c>
    </row>
    <row r="1397" spans="1:23">
      <c r="A1397"/>
      <c r="B1397" t="s">
        <v>61</v>
      </c>
      <c r="C1397" t="s">
        <v>61</v>
      </c>
      <c r="D1397" t="s">
        <v>33</v>
      </c>
      <c r="E1397" t="s">
        <v>34</v>
      </c>
      <c r="F1397" t="str">
        <f>"0001711"</f>
        <v>0001711</v>
      </c>
      <c r="G1397">
        <v>1</v>
      </c>
      <c r="H1397" t="str">
        <f>"00000000"</f>
        <v>00000000</v>
      </c>
      <c r="I1397" t="s">
        <v>35</v>
      </c>
      <c r="J1397"/>
      <c r="K1397">
        <v>25.0</v>
      </c>
      <c r="L1397">
        <v>0.0</v>
      </c>
      <c r="M1397"/>
      <c r="N1397"/>
      <c r="O1397">
        <v>4.5</v>
      </c>
      <c r="P1397">
        <v>0.0</v>
      </c>
      <c r="Q1397">
        <v>29.5</v>
      </c>
      <c r="R1397"/>
      <c r="S1397"/>
      <c r="T1397"/>
      <c r="U1397"/>
      <c r="V1397"/>
      <c r="W1397">
        <v>18</v>
      </c>
    </row>
    <row r="1398" spans="1:23">
      <c r="A1398"/>
      <c r="B1398" t="s">
        <v>61</v>
      </c>
      <c r="C1398" t="s">
        <v>61</v>
      </c>
      <c r="D1398" t="s">
        <v>33</v>
      </c>
      <c r="E1398" t="s">
        <v>34</v>
      </c>
      <c r="F1398" t="str">
        <f>"0001712"</f>
        <v>0001712</v>
      </c>
      <c r="G1398">
        <v>1</v>
      </c>
      <c r="H1398" t="str">
        <f>"00000000"</f>
        <v>00000000</v>
      </c>
      <c r="I1398" t="s">
        <v>35</v>
      </c>
      <c r="J1398"/>
      <c r="K1398">
        <v>6.02</v>
      </c>
      <c r="L1398">
        <v>0.0</v>
      </c>
      <c r="M1398"/>
      <c r="N1398"/>
      <c r="O1398">
        <v>1.08</v>
      </c>
      <c r="P1398">
        <v>0.0</v>
      </c>
      <c r="Q1398">
        <v>7.1</v>
      </c>
      <c r="R1398"/>
      <c r="S1398"/>
      <c r="T1398"/>
      <c r="U1398"/>
      <c r="V1398"/>
      <c r="W1398">
        <v>18</v>
      </c>
    </row>
    <row r="1399" spans="1:23">
      <c r="A1399"/>
      <c r="B1399" t="s">
        <v>61</v>
      </c>
      <c r="C1399" t="s">
        <v>61</v>
      </c>
      <c r="D1399" t="s">
        <v>33</v>
      </c>
      <c r="E1399" t="s">
        <v>34</v>
      </c>
      <c r="F1399" t="str">
        <f>"0001713"</f>
        <v>0001713</v>
      </c>
      <c r="G1399">
        <v>1</v>
      </c>
      <c r="H1399" t="str">
        <f>"00000000"</f>
        <v>00000000</v>
      </c>
      <c r="I1399" t="s">
        <v>35</v>
      </c>
      <c r="J1399"/>
      <c r="K1399">
        <v>38.37</v>
      </c>
      <c r="L1399">
        <v>0.0</v>
      </c>
      <c r="M1399"/>
      <c r="N1399"/>
      <c r="O1399">
        <v>6.91</v>
      </c>
      <c r="P1399">
        <v>0.2</v>
      </c>
      <c r="Q1399">
        <v>45.47</v>
      </c>
      <c r="R1399"/>
      <c r="S1399"/>
      <c r="T1399"/>
      <c r="U1399"/>
      <c r="V1399"/>
      <c r="W1399">
        <v>18</v>
      </c>
    </row>
    <row r="1400" spans="1:23">
      <c r="A1400"/>
      <c r="B1400" t="s">
        <v>61</v>
      </c>
      <c r="C1400" t="s">
        <v>61</v>
      </c>
      <c r="D1400" t="s">
        <v>33</v>
      </c>
      <c r="E1400" t="s">
        <v>34</v>
      </c>
      <c r="F1400" t="str">
        <f>"0001714"</f>
        <v>0001714</v>
      </c>
      <c r="G1400">
        <v>1</v>
      </c>
      <c r="H1400" t="str">
        <f>"00000000"</f>
        <v>00000000</v>
      </c>
      <c r="I1400" t="s">
        <v>35</v>
      </c>
      <c r="J1400"/>
      <c r="K1400">
        <v>32.12</v>
      </c>
      <c r="L1400">
        <v>0.0</v>
      </c>
      <c r="M1400"/>
      <c r="N1400"/>
      <c r="O1400">
        <v>5.78</v>
      </c>
      <c r="P1400">
        <v>0.0</v>
      </c>
      <c r="Q1400">
        <v>37.9</v>
      </c>
      <c r="R1400"/>
      <c r="S1400"/>
      <c r="T1400"/>
      <c r="U1400"/>
      <c r="V1400"/>
      <c r="W1400">
        <v>18</v>
      </c>
    </row>
    <row r="1401" spans="1:23">
      <c r="A1401"/>
      <c r="B1401" t="s">
        <v>61</v>
      </c>
      <c r="C1401" t="s">
        <v>61</v>
      </c>
      <c r="D1401" t="s">
        <v>33</v>
      </c>
      <c r="E1401" t="s">
        <v>34</v>
      </c>
      <c r="F1401" t="str">
        <f>"0001715"</f>
        <v>0001715</v>
      </c>
      <c r="G1401">
        <v>1</v>
      </c>
      <c r="H1401" t="str">
        <f>"00000000"</f>
        <v>00000000</v>
      </c>
      <c r="I1401" t="s">
        <v>35</v>
      </c>
      <c r="J1401"/>
      <c r="K1401">
        <v>41.52</v>
      </c>
      <c r="L1401">
        <v>0.0</v>
      </c>
      <c r="M1401"/>
      <c r="N1401"/>
      <c r="O1401">
        <v>7.47</v>
      </c>
      <c r="P1401">
        <v>0.0</v>
      </c>
      <c r="Q1401">
        <v>49.0</v>
      </c>
      <c r="R1401"/>
      <c r="S1401"/>
      <c r="T1401"/>
      <c r="U1401"/>
      <c r="V1401"/>
      <c r="W1401">
        <v>18</v>
      </c>
    </row>
    <row r="1402" spans="1:23">
      <c r="A1402"/>
      <c r="B1402" t="s">
        <v>61</v>
      </c>
      <c r="C1402" t="s">
        <v>61</v>
      </c>
      <c r="D1402" t="s">
        <v>33</v>
      </c>
      <c r="E1402" t="s">
        <v>34</v>
      </c>
      <c r="F1402" t="str">
        <f>"0001716"</f>
        <v>0001716</v>
      </c>
      <c r="G1402">
        <v>1</v>
      </c>
      <c r="H1402" t="str">
        <f>"00000000"</f>
        <v>00000000</v>
      </c>
      <c r="I1402" t="s">
        <v>35</v>
      </c>
      <c r="J1402"/>
      <c r="K1402">
        <v>13.74</v>
      </c>
      <c r="L1402">
        <v>0.0</v>
      </c>
      <c r="M1402"/>
      <c r="N1402"/>
      <c r="O1402">
        <v>2.47</v>
      </c>
      <c r="P1402">
        <v>0.2</v>
      </c>
      <c r="Q1402">
        <v>16.41</v>
      </c>
      <c r="R1402"/>
      <c r="S1402"/>
      <c r="T1402"/>
      <c r="U1402"/>
      <c r="V1402"/>
      <c r="W1402">
        <v>18</v>
      </c>
    </row>
    <row r="1403" spans="1:23">
      <c r="A1403"/>
      <c r="B1403" t="s">
        <v>61</v>
      </c>
      <c r="C1403" t="s">
        <v>61</v>
      </c>
      <c r="D1403" t="s">
        <v>33</v>
      </c>
      <c r="E1403" t="s">
        <v>34</v>
      </c>
      <c r="F1403" t="str">
        <f>"0001717"</f>
        <v>0001717</v>
      </c>
      <c r="G1403">
        <v>1</v>
      </c>
      <c r="H1403" t="str">
        <f>"00000000"</f>
        <v>00000000</v>
      </c>
      <c r="I1403" t="s">
        <v>35</v>
      </c>
      <c r="J1403"/>
      <c r="K1403">
        <v>3.81</v>
      </c>
      <c r="L1403">
        <v>0.0</v>
      </c>
      <c r="M1403"/>
      <c r="N1403"/>
      <c r="O1403">
        <v>0.69</v>
      </c>
      <c r="P1403">
        <v>0.0</v>
      </c>
      <c r="Q1403">
        <v>4.5</v>
      </c>
      <c r="R1403"/>
      <c r="S1403"/>
      <c r="T1403"/>
      <c r="U1403"/>
      <c r="V1403"/>
      <c r="W1403">
        <v>18</v>
      </c>
    </row>
    <row r="1404" spans="1:23">
      <c r="A1404"/>
      <c r="B1404" t="s">
        <v>61</v>
      </c>
      <c r="C1404" t="s">
        <v>61</v>
      </c>
      <c r="D1404" t="s">
        <v>33</v>
      </c>
      <c r="E1404" t="s">
        <v>34</v>
      </c>
      <c r="F1404" t="str">
        <f>"0001718"</f>
        <v>0001718</v>
      </c>
      <c r="G1404">
        <v>1</v>
      </c>
      <c r="H1404" t="str">
        <f>"00000000"</f>
        <v>00000000</v>
      </c>
      <c r="I1404" t="s">
        <v>35</v>
      </c>
      <c r="J1404"/>
      <c r="K1404">
        <v>64.41</v>
      </c>
      <c r="L1404">
        <v>0.0</v>
      </c>
      <c r="M1404"/>
      <c r="N1404"/>
      <c r="O1404">
        <v>11.59</v>
      </c>
      <c r="P1404">
        <v>0.4</v>
      </c>
      <c r="Q1404">
        <v>76.4</v>
      </c>
      <c r="R1404"/>
      <c r="S1404"/>
      <c r="T1404"/>
      <c r="U1404"/>
      <c r="V1404"/>
      <c r="W1404">
        <v>18</v>
      </c>
    </row>
    <row r="1405" spans="1:23">
      <c r="A1405"/>
      <c r="B1405" t="s">
        <v>61</v>
      </c>
      <c r="C1405" t="s">
        <v>61</v>
      </c>
      <c r="D1405" t="s">
        <v>33</v>
      </c>
      <c r="E1405" t="s">
        <v>34</v>
      </c>
      <c r="F1405" t="str">
        <f>"0001719"</f>
        <v>0001719</v>
      </c>
      <c r="G1405">
        <v>1</v>
      </c>
      <c r="H1405" t="str">
        <f>"00000000"</f>
        <v>00000000</v>
      </c>
      <c r="I1405" t="s">
        <v>35</v>
      </c>
      <c r="J1405"/>
      <c r="K1405">
        <v>2.71</v>
      </c>
      <c r="L1405">
        <v>0.0</v>
      </c>
      <c r="M1405"/>
      <c r="N1405"/>
      <c r="O1405">
        <v>0.49</v>
      </c>
      <c r="P1405">
        <v>0.0</v>
      </c>
      <c r="Q1405">
        <v>3.2</v>
      </c>
      <c r="R1405"/>
      <c r="S1405"/>
      <c r="T1405"/>
      <c r="U1405"/>
      <c r="V1405"/>
      <c r="W1405">
        <v>18</v>
      </c>
    </row>
    <row r="1406" spans="1:23">
      <c r="A1406"/>
      <c r="B1406" t="s">
        <v>61</v>
      </c>
      <c r="C1406" t="s">
        <v>61</v>
      </c>
      <c r="D1406" t="s">
        <v>33</v>
      </c>
      <c r="E1406" t="s">
        <v>34</v>
      </c>
      <c r="F1406" t="str">
        <f>"0001720"</f>
        <v>0001720</v>
      </c>
      <c r="G1406">
        <v>1</v>
      </c>
      <c r="H1406" t="str">
        <f>"00000000"</f>
        <v>00000000</v>
      </c>
      <c r="I1406" t="s">
        <v>35</v>
      </c>
      <c r="J1406"/>
      <c r="K1406">
        <v>25.34</v>
      </c>
      <c r="L1406">
        <v>0.0</v>
      </c>
      <c r="M1406"/>
      <c r="N1406"/>
      <c r="O1406">
        <v>4.56</v>
      </c>
      <c r="P1406">
        <v>0.0</v>
      </c>
      <c r="Q1406">
        <v>29.9</v>
      </c>
      <c r="R1406"/>
      <c r="S1406"/>
      <c r="T1406"/>
      <c r="U1406"/>
      <c r="V1406"/>
      <c r="W1406">
        <v>18</v>
      </c>
    </row>
    <row r="1407" spans="1:23">
      <c r="A1407"/>
      <c r="B1407" t="s">
        <v>61</v>
      </c>
      <c r="C1407" t="s">
        <v>61</v>
      </c>
      <c r="D1407" t="s">
        <v>33</v>
      </c>
      <c r="E1407" t="s">
        <v>34</v>
      </c>
      <c r="F1407" t="str">
        <f>"0001721"</f>
        <v>0001721</v>
      </c>
      <c r="G1407">
        <v>1</v>
      </c>
      <c r="H1407" t="str">
        <f>"00000000"</f>
        <v>00000000</v>
      </c>
      <c r="I1407" t="s">
        <v>35</v>
      </c>
      <c r="J1407"/>
      <c r="K1407">
        <v>11.02</v>
      </c>
      <c r="L1407">
        <v>0.0</v>
      </c>
      <c r="M1407"/>
      <c r="N1407"/>
      <c r="O1407">
        <v>1.98</v>
      </c>
      <c r="P1407">
        <v>0.0</v>
      </c>
      <c r="Q1407">
        <v>13.0</v>
      </c>
      <c r="R1407"/>
      <c r="S1407"/>
      <c r="T1407"/>
      <c r="U1407"/>
      <c r="V1407"/>
      <c r="W1407">
        <v>18</v>
      </c>
    </row>
    <row r="1408" spans="1:23">
      <c r="A1408"/>
      <c r="B1408" t="s">
        <v>61</v>
      </c>
      <c r="C1408" t="s">
        <v>61</v>
      </c>
      <c r="D1408" t="s">
        <v>33</v>
      </c>
      <c r="E1408" t="s">
        <v>34</v>
      </c>
      <c r="F1408" t="str">
        <f>"0001722"</f>
        <v>0001722</v>
      </c>
      <c r="G1408">
        <v>1</v>
      </c>
      <c r="H1408" t="str">
        <f>"00000000"</f>
        <v>00000000</v>
      </c>
      <c r="I1408" t="s">
        <v>35</v>
      </c>
      <c r="J1408"/>
      <c r="K1408">
        <v>9.64</v>
      </c>
      <c r="L1408">
        <v>0.0</v>
      </c>
      <c r="M1408"/>
      <c r="N1408"/>
      <c r="O1408">
        <v>1.74</v>
      </c>
      <c r="P1408">
        <v>0.2</v>
      </c>
      <c r="Q1408">
        <v>11.58</v>
      </c>
      <c r="R1408"/>
      <c r="S1408"/>
      <c r="T1408"/>
      <c r="U1408"/>
      <c r="V1408"/>
      <c r="W1408">
        <v>18</v>
      </c>
    </row>
    <row r="1409" spans="1:23">
      <c r="A1409"/>
      <c r="B1409" t="s">
        <v>61</v>
      </c>
      <c r="C1409" t="s">
        <v>61</v>
      </c>
      <c r="D1409" t="s">
        <v>33</v>
      </c>
      <c r="E1409" t="s">
        <v>34</v>
      </c>
      <c r="F1409" t="str">
        <f>"0001723"</f>
        <v>0001723</v>
      </c>
      <c r="G1409">
        <v>1</v>
      </c>
      <c r="H1409" t="str">
        <f>"00000000"</f>
        <v>00000000</v>
      </c>
      <c r="I1409" t="s">
        <v>35</v>
      </c>
      <c r="J1409"/>
      <c r="K1409">
        <v>9.45</v>
      </c>
      <c r="L1409">
        <v>0.0</v>
      </c>
      <c r="M1409"/>
      <c r="N1409"/>
      <c r="O1409">
        <v>1.7</v>
      </c>
      <c r="P1409">
        <v>0.0</v>
      </c>
      <c r="Q1409">
        <v>11.15</v>
      </c>
      <c r="R1409"/>
      <c r="S1409"/>
      <c r="T1409"/>
      <c r="U1409"/>
      <c r="V1409"/>
      <c r="W1409">
        <v>18</v>
      </c>
    </row>
    <row r="1410" spans="1:23">
      <c r="A1410"/>
      <c r="B1410" t="s">
        <v>61</v>
      </c>
      <c r="C1410" t="s">
        <v>61</v>
      </c>
      <c r="D1410" t="s">
        <v>33</v>
      </c>
      <c r="E1410" t="s">
        <v>34</v>
      </c>
      <c r="F1410" t="str">
        <f>"0001724"</f>
        <v>0001724</v>
      </c>
      <c r="G1410">
        <v>1</v>
      </c>
      <c r="H1410" t="str">
        <f>"00000000"</f>
        <v>00000000</v>
      </c>
      <c r="I1410" t="s">
        <v>35</v>
      </c>
      <c r="J1410"/>
      <c r="K1410">
        <v>1.69</v>
      </c>
      <c r="L1410">
        <v>0.0</v>
      </c>
      <c r="M1410"/>
      <c r="N1410"/>
      <c r="O1410">
        <v>0.31</v>
      </c>
      <c r="P1410">
        <v>0.0</v>
      </c>
      <c r="Q1410">
        <v>2.0</v>
      </c>
      <c r="R1410"/>
      <c r="S1410"/>
      <c r="T1410"/>
      <c r="U1410"/>
      <c r="V1410"/>
      <c r="W1410">
        <v>18</v>
      </c>
    </row>
    <row r="1411" spans="1:23">
      <c r="A1411"/>
      <c r="B1411" t="s">
        <v>61</v>
      </c>
      <c r="C1411" t="s">
        <v>61</v>
      </c>
      <c r="D1411" t="s">
        <v>33</v>
      </c>
      <c r="E1411" t="s">
        <v>34</v>
      </c>
      <c r="F1411" t="str">
        <f>"0001725"</f>
        <v>0001725</v>
      </c>
      <c r="G1411">
        <v>1</v>
      </c>
      <c r="H1411" t="str">
        <f>"00000000"</f>
        <v>00000000</v>
      </c>
      <c r="I1411" t="s">
        <v>35</v>
      </c>
      <c r="J1411"/>
      <c r="K1411">
        <v>8.31</v>
      </c>
      <c r="L1411">
        <v>0.0</v>
      </c>
      <c r="M1411"/>
      <c r="N1411"/>
      <c r="O1411">
        <v>1.49</v>
      </c>
      <c r="P1411">
        <v>0.2</v>
      </c>
      <c r="Q1411">
        <v>10.0</v>
      </c>
      <c r="R1411"/>
      <c r="S1411"/>
      <c r="T1411"/>
      <c r="U1411"/>
      <c r="V1411"/>
      <c r="W1411">
        <v>18</v>
      </c>
    </row>
    <row r="1412" spans="1:23">
      <c r="A1412"/>
      <c r="B1412" t="s">
        <v>61</v>
      </c>
      <c r="C1412" t="s">
        <v>61</v>
      </c>
      <c r="D1412" t="s">
        <v>33</v>
      </c>
      <c r="E1412" t="s">
        <v>34</v>
      </c>
      <c r="F1412" t="str">
        <f>"0001726"</f>
        <v>0001726</v>
      </c>
      <c r="G1412">
        <v>1</v>
      </c>
      <c r="H1412" t="str">
        <f>"00000000"</f>
        <v>00000000</v>
      </c>
      <c r="I1412" t="s">
        <v>35</v>
      </c>
      <c r="J1412"/>
      <c r="K1412">
        <v>2.97</v>
      </c>
      <c r="L1412">
        <v>0.0</v>
      </c>
      <c r="M1412"/>
      <c r="N1412"/>
      <c r="O1412">
        <v>0.53</v>
      </c>
      <c r="P1412">
        <v>0.0</v>
      </c>
      <c r="Q1412">
        <v>3.5</v>
      </c>
      <c r="R1412"/>
      <c r="S1412"/>
      <c r="T1412"/>
      <c r="U1412"/>
      <c r="V1412"/>
      <c r="W1412">
        <v>18</v>
      </c>
    </row>
    <row r="1413" spans="1:23">
      <c r="A1413"/>
      <c r="B1413" t="s">
        <v>61</v>
      </c>
      <c r="C1413" t="s">
        <v>61</v>
      </c>
      <c r="D1413" t="s">
        <v>33</v>
      </c>
      <c r="E1413" t="s">
        <v>34</v>
      </c>
      <c r="F1413" t="str">
        <f>"0001727"</f>
        <v>0001727</v>
      </c>
      <c r="G1413">
        <v>1</v>
      </c>
      <c r="H1413" t="str">
        <f>"00000000"</f>
        <v>00000000</v>
      </c>
      <c r="I1413" t="s">
        <v>35</v>
      </c>
      <c r="J1413"/>
      <c r="K1413">
        <v>5.79</v>
      </c>
      <c r="L1413">
        <v>0.0</v>
      </c>
      <c r="M1413"/>
      <c r="N1413"/>
      <c r="O1413">
        <v>1.04</v>
      </c>
      <c r="P1413">
        <v>0.2</v>
      </c>
      <c r="Q1413">
        <v>7.03</v>
      </c>
      <c r="R1413"/>
      <c r="S1413"/>
      <c r="T1413"/>
      <c r="U1413"/>
      <c r="V1413"/>
      <c r="W1413">
        <v>18</v>
      </c>
    </row>
    <row r="1414" spans="1:23">
      <c r="A1414"/>
      <c r="B1414" t="s">
        <v>61</v>
      </c>
      <c r="C1414" t="s">
        <v>61</v>
      </c>
      <c r="D1414" t="s">
        <v>33</v>
      </c>
      <c r="E1414" t="s">
        <v>34</v>
      </c>
      <c r="F1414" t="str">
        <f>"0001728"</f>
        <v>0001728</v>
      </c>
      <c r="G1414">
        <v>1</v>
      </c>
      <c r="H1414" t="str">
        <f>"00000000"</f>
        <v>00000000</v>
      </c>
      <c r="I1414" t="s">
        <v>35</v>
      </c>
      <c r="J1414"/>
      <c r="K1414">
        <v>0.85</v>
      </c>
      <c r="L1414">
        <v>0.0</v>
      </c>
      <c r="M1414"/>
      <c r="N1414"/>
      <c r="O1414">
        <v>0.15</v>
      </c>
      <c r="P1414">
        <v>0.0</v>
      </c>
      <c r="Q1414">
        <v>1.0</v>
      </c>
      <c r="R1414"/>
      <c r="S1414"/>
      <c r="T1414"/>
      <c r="U1414"/>
      <c r="V1414"/>
      <c r="W1414">
        <v>18</v>
      </c>
    </row>
    <row r="1415" spans="1:23">
      <c r="A1415"/>
      <c r="B1415" t="s">
        <v>61</v>
      </c>
      <c r="C1415" t="s">
        <v>61</v>
      </c>
      <c r="D1415" t="s">
        <v>33</v>
      </c>
      <c r="E1415" t="s">
        <v>34</v>
      </c>
      <c r="F1415" t="str">
        <f>"0001729"</f>
        <v>0001729</v>
      </c>
      <c r="G1415">
        <v>1</v>
      </c>
      <c r="H1415" t="str">
        <f>"00000000"</f>
        <v>00000000</v>
      </c>
      <c r="I1415" t="s">
        <v>35</v>
      </c>
      <c r="J1415"/>
      <c r="K1415">
        <v>7.63</v>
      </c>
      <c r="L1415">
        <v>0.0</v>
      </c>
      <c r="M1415"/>
      <c r="N1415"/>
      <c r="O1415">
        <v>1.37</v>
      </c>
      <c r="P1415">
        <v>0.0</v>
      </c>
      <c r="Q1415">
        <v>9.0</v>
      </c>
      <c r="R1415"/>
      <c r="S1415"/>
      <c r="T1415"/>
      <c r="U1415"/>
      <c r="V1415"/>
      <c r="W1415">
        <v>18</v>
      </c>
    </row>
    <row r="1416" spans="1:23">
      <c r="A1416"/>
      <c r="B1416" t="s">
        <v>61</v>
      </c>
      <c r="C1416" t="s">
        <v>61</v>
      </c>
      <c r="D1416" t="s">
        <v>33</v>
      </c>
      <c r="E1416" t="s">
        <v>34</v>
      </c>
      <c r="F1416" t="str">
        <f>"0001730"</f>
        <v>0001730</v>
      </c>
      <c r="G1416">
        <v>1</v>
      </c>
      <c r="H1416" t="str">
        <f>"00000000"</f>
        <v>00000000</v>
      </c>
      <c r="I1416" t="s">
        <v>35</v>
      </c>
      <c r="J1416"/>
      <c r="K1416">
        <v>2.96</v>
      </c>
      <c r="L1416">
        <v>0.0</v>
      </c>
      <c r="M1416"/>
      <c r="N1416"/>
      <c r="O1416">
        <v>0.53</v>
      </c>
      <c r="P1416">
        <v>0.0</v>
      </c>
      <c r="Q1416">
        <v>3.5</v>
      </c>
      <c r="R1416"/>
      <c r="S1416"/>
      <c r="T1416"/>
      <c r="U1416"/>
      <c r="V1416"/>
      <c r="W1416">
        <v>18</v>
      </c>
    </row>
    <row r="1417" spans="1:23">
      <c r="A1417"/>
      <c r="B1417" t="s">
        <v>61</v>
      </c>
      <c r="C1417" t="s">
        <v>61</v>
      </c>
      <c r="D1417" t="s">
        <v>33</v>
      </c>
      <c r="E1417" t="s">
        <v>34</v>
      </c>
      <c r="F1417" t="str">
        <f>"0001731"</f>
        <v>0001731</v>
      </c>
      <c r="G1417">
        <v>1</v>
      </c>
      <c r="H1417" t="str">
        <f>"00000000"</f>
        <v>00000000</v>
      </c>
      <c r="I1417" t="s">
        <v>35</v>
      </c>
      <c r="J1417"/>
      <c r="K1417">
        <v>2.29</v>
      </c>
      <c r="L1417">
        <v>0.0</v>
      </c>
      <c r="M1417"/>
      <c r="N1417"/>
      <c r="O1417">
        <v>0.41</v>
      </c>
      <c r="P1417">
        <v>0.0</v>
      </c>
      <c r="Q1417">
        <v>2.7</v>
      </c>
      <c r="R1417"/>
      <c r="S1417"/>
      <c r="T1417"/>
      <c r="U1417"/>
      <c r="V1417"/>
      <c r="W1417">
        <v>18</v>
      </c>
    </row>
    <row r="1418" spans="1:23">
      <c r="A1418"/>
      <c r="B1418" t="s">
        <v>61</v>
      </c>
      <c r="C1418" t="s">
        <v>61</v>
      </c>
      <c r="D1418" t="s">
        <v>33</v>
      </c>
      <c r="E1418" t="s">
        <v>34</v>
      </c>
      <c r="F1418" t="str">
        <f>"0001732"</f>
        <v>0001732</v>
      </c>
      <c r="G1418">
        <v>1</v>
      </c>
      <c r="H1418" t="str">
        <f>"00000000"</f>
        <v>00000000</v>
      </c>
      <c r="I1418" t="s">
        <v>35</v>
      </c>
      <c r="J1418"/>
      <c r="K1418">
        <v>41.45</v>
      </c>
      <c r="L1418">
        <v>0.0</v>
      </c>
      <c r="M1418"/>
      <c r="N1418"/>
      <c r="O1418">
        <v>7.46</v>
      </c>
      <c r="P1418">
        <v>0.2</v>
      </c>
      <c r="Q1418">
        <v>49.11</v>
      </c>
      <c r="R1418"/>
      <c r="S1418"/>
      <c r="T1418"/>
      <c r="U1418"/>
      <c r="V1418"/>
      <c r="W1418">
        <v>18</v>
      </c>
    </row>
    <row r="1419" spans="1:23">
      <c r="A1419"/>
      <c r="B1419" t="s">
        <v>61</v>
      </c>
      <c r="C1419" t="s">
        <v>61</v>
      </c>
      <c r="D1419" t="s">
        <v>33</v>
      </c>
      <c r="E1419" t="s">
        <v>34</v>
      </c>
      <c r="F1419" t="str">
        <f>"0001733"</f>
        <v>0001733</v>
      </c>
      <c r="G1419">
        <v>1</v>
      </c>
      <c r="H1419" t="str">
        <f>"00000000"</f>
        <v>00000000</v>
      </c>
      <c r="I1419" t="s">
        <v>35</v>
      </c>
      <c r="J1419"/>
      <c r="K1419">
        <v>39.71</v>
      </c>
      <c r="L1419">
        <v>0.0</v>
      </c>
      <c r="M1419"/>
      <c r="N1419"/>
      <c r="O1419">
        <v>7.15</v>
      </c>
      <c r="P1419">
        <v>0.2</v>
      </c>
      <c r="Q1419">
        <v>47.06</v>
      </c>
      <c r="R1419"/>
      <c r="S1419"/>
      <c r="T1419"/>
      <c r="U1419"/>
      <c r="V1419"/>
      <c r="W1419">
        <v>18</v>
      </c>
    </row>
    <row r="1420" spans="1:23">
      <c r="A1420"/>
      <c r="B1420" t="s">
        <v>61</v>
      </c>
      <c r="C1420" t="s">
        <v>61</v>
      </c>
      <c r="D1420" t="s">
        <v>33</v>
      </c>
      <c r="E1420" t="s">
        <v>34</v>
      </c>
      <c r="F1420" t="str">
        <f>"0001734"</f>
        <v>0001734</v>
      </c>
      <c r="G1420">
        <v>1</v>
      </c>
      <c r="H1420" t="str">
        <f>"00000000"</f>
        <v>00000000</v>
      </c>
      <c r="I1420" t="s">
        <v>35</v>
      </c>
      <c r="J1420"/>
      <c r="K1420">
        <v>7.29</v>
      </c>
      <c r="L1420">
        <v>0.0</v>
      </c>
      <c r="M1420"/>
      <c r="N1420"/>
      <c r="O1420">
        <v>1.31</v>
      </c>
      <c r="P1420">
        <v>0.2</v>
      </c>
      <c r="Q1420">
        <v>8.8</v>
      </c>
      <c r="R1420"/>
      <c r="S1420"/>
      <c r="T1420"/>
      <c r="U1420"/>
      <c r="V1420"/>
      <c r="W1420">
        <v>18</v>
      </c>
    </row>
    <row r="1421" spans="1:23">
      <c r="A1421"/>
      <c r="B1421" t="s">
        <v>61</v>
      </c>
      <c r="C1421" t="s">
        <v>61</v>
      </c>
      <c r="D1421" t="s">
        <v>33</v>
      </c>
      <c r="E1421" t="s">
        <v>34</v>
      </c>
      <c r="F1421" t="str">
        <f>"0001735"</f>
        <v>0001735</v>
      </c>
      <c r="G1421">
        <v>1</v>
      </c>
      <c r="H1421" t="str">
        <f>"00000000"</f>
        <v>00000000</v>
      </c>
      <c r="I1421" t="s">
        <v>35</v>
      </c>
      <c r="J1421"/>
      <c r="K1421">
        <v>7.2</v>
      </c>
      <c r="L1421">
        <v>0.0</v>
      </c>
      <c r="M1421"/>
      <c r="N1421"/>
      <c r="O1421">
        <v>1.3</v>
      </c>
      <c r="P1421">
        <v>0.0</v>
      </c>
      <c r="Q1421">
        <v>8.5</v>
      </c>
      <c r="R1421"/>
      <c r="S1421"/>
      <c r="T1421"/>
      <c r="U1421"/>
      <c r="V1421"/>
      <c r="W1421">
        <v>18</v>
      </c>
    </row>
    <row r="1422" spans="1:23">
      <c r="A1422"/>
      <c r="B1422" t="s">
        <v>61</v>
      </c>
      <c r="C1422" t="s">
        <v>61</v>
      </c>
      <c r="D1422" t="s">
        <v>33</v>
      </c>
      <c r="E1422" t="s">
        <v>34</v>
      </c>
      <c r="F1422" t="str">
        <f>"0001736"</f>
        <v>0001736</v>
      </c>
      <c r="G1422">
        <v>1</v>
      </c>
      <c r="H1422" t="str">
        <f>"00000000"</f>
        <v>00000000</v>
      </c>
      <c r="I1422" t="s">
        <v>35</v>
      </c>
      <c r="J1422"/>
      <c r="K1422">
        <v>2.54</v>
      </c>
      <c r="L1422">
        <v>0.0</v>
      </c>
      <c r="M1422"/>
      <c r="N1422"/>
      <c r="O1422">
        <v>0.46</v>
      </c>
      <c r="P1422">
        <v>0.0</v>
      </c>
      <c r="Q1422">
        <v>3.0</v>
      </c>
      <c r="R1422"/>
      <c r="S1422"/>
      <c r="T1422"/>
      <c r="U1422"/>
      <c r="V1422"/>
      <c r="W1422">
        <v>18</v>
      </c>
    </row>
    <row r="1423" spans="1:23">
      <c r="A1423"/>
      <c r="B1423" t="s">
        <v>61</v>
      </c>
      <c r="C1423" t="s">
        <v>61</v>
      </c>
      <c r="D1423" t="s">
        <v>33</v>
      </c>
      <c r="E1423" t="s">
        <v>34</v>
      </c>
      <c r="F1423" t="str">
        <f>"0001737"</f>
        <v>0001737</v>
      </c>
      <c r="G1423">
        <v>1</v>
      </c>
      <c r="H1423" t="str">
        <f>"00000000"</f>
        <v>00000000</v>
      </c>
      <c r="I1423" t="s">
        <v>35</v>
      </c>
      <c r="J1423"/>
      <c r="K1423">
        <v>38.52</v>
      </c>
      <c r="L1423">
        <v>0.0</v>
      </c>
      <c r="M1423"/>
      <c r="N1423"/>
      <c r="O1423">
        <v>6.93</v>
      </c>
      <c r="P1423">
        <v>0.0</v>
      </c>
      <c r="Q1423">
        <v>45.45</v>
      </c>
      <c r="R1423"/>
      <c r="S1423"/>
      <c r="T1423"/>
      <c r="U1423"/>
      <c r="V1423"/>
      <c r="W1423">
        <v>18</v>
      </c>
    </row>
    <row r="1424" spans="1:23">
      <c r="A1424"/>
      <c r="B1424" t="s">
        <v>61</v>
      </c>
      <c r="C1424" t="s">
        <v>61</v>
      </c>
      <c r="D1424" t="s">
        <v>33</v>
      </c>
      <c r="E1424" t="s">
        <v>34</v>
      </c>
      <c r="F1424" t="str">
        <f>"0001738"</f>
        <v>0001738</v>
      </c>
      <c r="G1424">
        <v>1</v>
      </c>
      <c r="H1424" t="str">
        <f>"00000000"</f>
        <v>00000000</v>
      </c>
      <c r="I1424" t="s">
        <v>35</v>
      </c>
      <c r="J1424"/>
      <c r="K1424">
        <v>48.14</v>
      </c>
      <c r="L1424">
        <v>0.0</v>
      </c>
      <c r="M1424"/>
      <c r="N1424"/>
      <c r="O1424">
        <v>8.66</v>
      </c>
      <c r="P1424">
        <v>0.4</v>
      </c>
      <c r="Q1424">
        <v>57.2</v>
      </c>
      <c r="R1424"/>
      <c r="S1424"/>
      <c r="T1424"/>
      <c r="U1424"/>
      <c r="V1424"/>
      <c r="W1424">
        <v>18</v>
      </c>
    </row>
    <row r="1425" spans="1:23">
      <c r="A1425"/>
      <c r="B1425" t="s">
        <v>61</v>
      </c>
      <c r="C1425" t="s">
        <v>61</v>
      </c>
      <c r="D1425" t="s">
        <v>33</v>
      </c>
      <c r="E1425" t="s">
        <v>34</v>
      </c>
      <c r="F1425" t="str">
        <f>"0001739"</f>
        <v>0001739</v>
      </c>
      <c r="G1425">
        <v>6</v>
      </c>
      <c r="H1425" t="str">
        <f>"70106003"</f>
        <v>70106003</v>
      </c>
      <c r="I1425">
        <v>70106003</v>
      </c>
      <c r="J1425"/>
      <c r="K1425">
        <v>58.17</v>
      </c>
      <c r="L1425">
        <v>0.0</v>
      </c>
      <c r="M1425"/>
      <c r="N1425"/>
      <c r="O1425">
        <v>10.47</v>
      </c>
      <c r="P1425">
        <v>0.6</v>
      </c>
      <c r="Q1425">
        <v>69.24</v>
      </c>
      <c r="R1425"/>
      <c r="S1425"/>
      <c r="T1425"/>
      <c r="U1425"/>
      <c r="V1425"/>
      <c r="W1425">
        <v>18</v>
      </c>
    </row>
    <row r="1426" spans="1:23">
      <c r="A1426"/>
      <c r="B1426" t="s">
        <v>61</v>
      </c>
      <c r="C1426" t="s">
        <v>61</v>
      </c>
      <c r="D1426" t="s">
        <v>33</v>
      </c>
      <c r="E1426" t="s">
        <v>34</v>
      </c>
      <c r="F1426" t="str">
        <f>"0001740"</f>
        <v>0001740</v>
      </c>
      <c r="G1426">
        <v>1</v>
      </c>
      <c r="H1426" t="str">
        <f>"00000000"</f>
        <v>00000000</v>
      </c>
      <c r="I1426" t="s">
        <v>35</v>
      </c>
      <c r="J1426"/>
      <c r="K1426">
        <v>7.21</v>
      </c>
      <c r="L1426">
        <v>0.0</v>
      </c>
      <c r="M1426"/>
      <c r="N1426"/>
      <c r="O1426">
        <v>1.3</v>
      </c>
      <c r="P1426">
        <v>0.2</v>
      </c>
      <c r="Q1426">
        <v>8.71</v>
      </c>
      <c r="R1426"/>
      <c r="S1426"/>
      <c r="T1426"/>
      <c r="U1426"/>
      <c r="V1426"/>
      <c r="W1426">
        <v>18</v>
      </c>
    </row>
    <row r="1427" spans="1:23">
      <c r="A1427"/>
      <c r="B1427" t="s">
        <v>61</v>
      </c>
      <c r="C1427" t="s">
        <v>61</v>
      </c>
      <c r="D1427" t="s">
        <v>33</v>
      </c>
      <c r="E1427" t="s">
        <v>34</v>
      </c>
      <c r="F1427" t="str">
        <f>"0001741"</f>
        <v>0001741</v>
      </c>
      <c r="G1427">
        <v>1</v>
      </c>
      <c r="H1427" t="str">
        <f>"00000000"</f>
        <v>00000000</v>
      </c>
      <c r="I1427" t="s">
        <v>35</v>
      </c>
      <c r="J1427"/>
      <c r="K1427">
        <v>2.97</v>
      </c>
      <c r="L1427">
        <v>0.0</v>
      </c>
      <c r="M1427"/>
      <c r="N1427"/>
      <c r="O1427">
        <v>0.53</v>
      </c>
      <c r="P1427">
        <v>0.0</v>
      </c>
      <c r="Q1427">
        <v>3.5</v>
      </c>
      <c r="R1427"/>
      <c r="S1427"/>
      <c r="T1427"/>
      <c r="U1427"/>
      <c r="V1427"/>
      <c r="W1427">
        <v>18</v>
      </c>
    </row>
    <row r="1428" spans="1:23">
      <c r="A1428"/>
      <c r="B1428" t="s">
        <v>61</v>
      </c>
      <c r="C1428" t="s">
        <v>61</v>
      </c>
      <c r="D1428" t="s">
        <v>33</v>
      </c>
      <c r="E1428" t="s">
        <v>34</v>
      </c>
      <c r="F1428" t="str">
        <f>"0001742"</f>
        <v>0001742</v>
      </c>
      <c r="G1428">
        <v>1</v>
      </c>
      <c r="H1428" t="str">
        <f>"00000000"</f>
        <v>00000000</v>
      </c>
      <c r="I1428" t="s">
        <v>35</v>
      </c>
      <c r="J1428"/>
      <c r="K1428">
        <v>11.19</v>
      </c>
      <c r="L1428">
        <v>0.0</v>
      </c>
      <c r="M1428"/>
      <c r="N1428"/>
      <c r="O1428">
        <v>2.01</v>
      </c>
      <c r="P1428">
        <v>0.2</v>
      </c>
      <c r="Q1428">
        <v>13.4</v>
      </c>
      <c r="R1428"/>
      <c r="S1428"/>
      <c r="T1428"/>
      <c r="U1428"/>
      <c r="V1428"/>
      <c r="W1428">
        <v>18</v>
      </c>
    </row>
    <row r="1429" spans="1:23">
      <c r="A1429"/>
      <c r="B1429" t="s">
        <v>61</v>
      </c>
      <c r="C1429" t="s">
        <v>61</v>
      </c>
      <c r="D1429" t="s">
        <v>33</v>
      </c>
      <c r="E1429" t="s">
        <v>34</v>
      </c>
      <c r="F1429" t="str">
        <f>"0001743"</f>
        <v>0001743</v>
      </c>
      <c r="G1429">
        <v>1</v>
      </c>
      <c r="H1429" t="str">
        <f>"00000000"</f>
        <v>00000000</v>
      </c>
      <c r="I1429" t="s">
        <v>35</v>
      </c>
      <c r="J1429"/>
      <c r="K1429">
        <v>1.69</v>
      </c>
      <c r="L1429">
        <v>0.0</v>
      </c>
      <c r="M1429"/>
      <c r="N1429"/>
      <c r="O1429">
        <v>0.31</v>
      </c>
      <c r="P1429">
        <v>0.0</v>
      </c>
      <c r="Q1429">
        <v>2.0</v>
      </c>
      <c r="R1429"/>
      <c r="S1429"/>
      <c r="T1429"/>
      <c r="U1429"/>
      <c r="V1429"/>
      <c r="W1429">
        <v>18</v>
      </c>
    </row>
    <row r="1430" spans="1:23">
      <c r="A1430"/>
      <c r="B1430" t="s">
        <v>61</v>
      </c>
      <c r="C1430" t="s">
        <v>61</v>
      </c>
      <c r="D1430" t="s">
        <v>33</v>
      </c>
      <c r="E1430" t="s">
        <v>34</v>
      </c>
      <c r="F1430" t="str">
        <f>"0001744"</f>
        <v>0001744</v>
      </c>
      <c r="G1430">
        <v>1</v>
      </c>
      <c r="H1430" t="str">
        <f>"00000000"</f>
        <v>00000000</v>
      </c>
      <c r="I1430" t="s">
        <v>35</v>
      </c>
      <c r="J1430"/>
      <c r="K1430">
        <v>37.5</v>
      </c>
      <c r="L1430">
        <v>0.0</v>
      </c>
      <c r="M1430"/>
      <c r="N1430"/>
      <c r="O1430">
        <v>6.75</v>
      </c>
      <c r="P1430">
        <v>0.0</v>
      </c>
      <c r="Q1430">
        <v>44.24</v>
      </c>
      <c r="R1430"/>
      <c r="S1430"/>
      <c r="T1430"/>
      <c r="U1430"/>
      <c r="V1430"/>
      <c r="W1430">
        <v>18</v>
      </c>
    </row>
    <row r="1431" spans="1:23">
      <c r="A1431"/>
      <c r="B1431" t="s">
        <v>61</v>
      </c>
      <c r="C1431" t="s">
        <v>61</v>
      </c>
      <c r="D1431" t="s">
        <v>33</v>
      </c>
      <c r="E1431" t="s">
        <v>34</v>
      </c>
      <c r="F1431" t="str">
        <f>"0001745"</f>
        <v>0001745</v>
      </c>
      <c r="G1431">
        <v>1</v>
      </c>
      <c r="H1431" t="str">
        <f>"00000000"</f>
        <v>00000000</v>
      </c>
      <c r="I1431" t="s">
        <v>35</v>
      </c>
      <c r="J1431"/>
      <c r="K1431">
        <v>7.54</v>
      </c>
      <c r="L1431">
        <v>0.0</v>
      </c>
      <c r="M1431"/>
      <c r="N1431"/>
      <c r="O1431">
        <v>1.36</v>
      </c>
      <c r="P1431">
        <v>0.0</v>
      </c>
      <c r="Q1431">
        <v>8.9</v>
      </c>
      <c r="R1431"/>
      <c r="S1431"/>
      <c r="T1431"/>
      <c r="U1431"/>
      <c r="V1431"/>
      <c r="W1431">
        <v>18</v>
      </c>
    </row>
    <row r="1432" spans="1:23">
      <c r="A1432"/>
      <c r="B1432" t="s">
        <v>61</v>
      </c>
      <c r="C1432" t="s">
        <v>61</v>
      </c>
      <c r="D1432" t="s">
        <v>33</v>
      </c>
      <c r="E1432" t="s">
        <v>34</v>
      </c>
      <c r="F1432" t="str">
        <f>"0001746"</f>
        <v>0001746</v>
      </c>
      <c r="G1432">
        <v>1</v>
      </c>
      <c r="H1432" t="str">
        <f>"00000000"</f>
        <v>00000000</v>
      </c>
      <c r="I1432" t="s">
        <v>35</v>
      </c>
      <c r="J1432"/>
      <c r="K1432">
        <v>5.37</v>
      </c>
      <c r="L1432">
        <v>0.0</v>
      </c>
      <c r="M1432"/>
      <c r="N1432"/>
      <c r="O1432">
        <v>0.97</v>
      </c>
      <c r="P1432">
        <v>0.2</v>
      </c>
      <c r="Q1432">
        <v>6.54</v>
      </c>
      <c r="R1432"/>
      <c r="S1432"/>
      <c r="T1432"/>
      <c r="U1432"/>
      <c r="V1432"/>
      <c r="W1432">
        <v>18</v>
      </c>
    </row>
    <row r="1433" spans="1:23">
      <c r="A1433"/>
      <c r="B1433" t="s">
        <v>61</v>
      </c>
      <c r="C1433" t="s">
        <v>61</v>
      </c>
      <c r="D1433" t="s">
        <v>33</v>
      </c>
      <c r="E1433" t="s">
        <v>34</v>
      </c>
      <c r="F1433" t="str">
        <f>"0001747"</f>
        <v>0001747</v>
      </c>
      <c r="G1433">
        <v>1</v>
      </c>
      <c r="H1433" t="str">
        <f>"00000000"</f>
        <v>00000000</v>
      </c>
      <c r="I1433" t="s">
        <v>35</v>
      </c>
      <c r="J1433"/>
      <c r="K1433">
        <v>57.47</v>
      </c>
      <c r="L1433">
        <v>0.0</v>
      </c>
      <c r="M1433"/>
      <c r="N1433"/>
      <c r="O1433">
        <v>10.34</v>
      </c>
      <c r="P1433">
        <v>0.4</v>
      </c>
      <c r="Q1433">
        <v>68.21</v>
      </c>
      <c r="R1433"/>
      <c r="S1433"/>
      <c r="T1433"/>
      <c r="U1433"/>
      <c r="V1433"/>
      <c r="W1433">
        <v>18</v>
      </c>
    </row>
    <row r="1434" spans="1:23">
      <c r="A1434"/>
      <c r="B1434" t="s">
        <v>61</v>
      </c>
      <c r="C1434" t="s">
        <v>61</v>
      </c>
      <c r="D1434" t="s">
        <v>33</v>
      </c>
      <c r="E1434" t="s">
        <v>34</v>
      </c>
      <c r="F1434" t="str">
        <f>"0001748"</f>
        <v>0001748</v>
      </c>
      <c r="G1434">
        <v>1</v>
      </c>
      <c r="H1434" t="str">
        <f>"00000000"</f>
        <v>00000000</v>
      </c>
      <c r="I1434" t="s">
        <v>35</v>
      </c>
      <c r="J1434"/>
      <c r="K1434">
        <v>16.1</v>
      </c>
      <c r="L1434">
        <v>0.0</v>
      </c>
      <c r="M1434"/>
      <c r="N1434"/>
      <c r="O1434">
        <v>2.9</v>
      </c>
      <c r="P1434">
        <v>0.0</v>
      </c>
      <c r="Q1434">
        <v>19.0</v>
      </c>
      <c r="R1434"/>
      <c r="S1434"/>
      <c r="T1434"/>
      <c r="U1434"/>
      <c r="V1434"/>
      <c r="W1434">
        <v>18</v>
      </c>
    </row>
    <row r="1435" spans="1:23">
      <c r="A1435"/>
      <c r="B1435" t="s">
        <v>61</v>
      </c>
      <c r="C1435" t="s">
        <v>61</v>
      </c>
      <c r="D1435" t="s">
        <v>33</v>
      </c>
      <c r="E1435" t="s">
        <v>34</v>
      </c>
      <c r="F1435" t="str">
        <f>"0001749"</f>
        <v>0001749</v>
      </c>
      <c r="G1435">
        <v>1</v>
      </c>
      <c r="H1435" t="str">
        <f>"00000000"</f>
        <v>00000000</v>
      </c>
      <c r="I1435" t="s">
        <v>35</v>
      </c>
      <c r="J1435"/>
      <c r="K1435">
        <v>2.7</v>
      </c>
      <c r="L1435">
        <v>0.0</v>
      </c>
      <c r="M1435"/>
      <c r="N1435"/>
      <c r="O1435">
        <v>0.49</v>
      </c>
      <c r="P1435">
        <v>0.0</v>
      </c>
      <c r="Q1435">
        <v>3.19</v>
      </c>
      <c r="R1435"/>
      <c r="S1435"/>
      <c r="T1435"/>
      <c r="U1435"/>
      <c r="V1435"/>
      <c r="W1435">
        <v>18</v>
      </c>
    </row>
    <row r="1436" spans="1:23">
      <c r="A1436"/>
      <c r="B1436" t="s">
        <v>61</v>
      </c>
      <c r="C1436" t="s">
        <v>61</v>
      </c>
      <c r="D1436" t="s">
        <v>33</v>
      </c>
      <c r="E1436" t="s">
        <v>34</v>
      </c>
      <c r="F1436" t="str">
        <f>"0001750"</f>
        <v>0001750</v>
      </c>
      <c r="G1436">
        <v>1</v>
      </c>
      <c r="H1436" t="str">
        <f>"00000000"</f>
        <v>00000000</v>
      </c>
      <c r="I1436" t="s">
        <v>35</v>
      </c>
      <c r="J1436"/>
      <c r="K1436">
        <v>159.39</v>
      </c>
      <c r="L1436">
        <v>0.0</v>
      </c>
      <c r="M1436"/>
      <c r="N1436"/>
      <c r="O1436">
        <v>28.69</v>
      </c>
      <c r="P1436">
        <v>0.8</v>
      </c>
      <c r="Q1436">
        <v>188.88</v>
      </c>
      <c r="R1436"/>
      <c r="S1436"/>
      <c r="T1436"/>
      <c r="U1436"/>
      <c r="V1436"/>
      <c r="W1436">
        <v>18</v>
      </c>
    </row>
    <row r="1437" spans="1:23">
      <c r="A1437"/>
      <c r="B1437" t="s">
        <v>61</v>
      </c>
      <c r="C1437" t="s">
        <v>61</v>
      </c>
      <c r="D1437" t="s">
        <v>33</v>
      </c>
      <c r="E1437" t="s">
        <v>34</v>
      </c>
      <c r="F1437" t="str">
        <f>"0001751"</f>
        <v>0001751</v>
      </c>
      <c r="G1437">
        <v>1</v>
      </c>
      <c r="H1437" t="str">
        <f>"00000000"</f>
        <v>00000000</v>
      </c>
      <c r="I1437" t="s">
        <v>35</v>
      </c>
      <c r="J1437"/>
      <c r="K1437">
        <v>34.41</v>
      </c>
      <c r="L1437">
        <v>0.0</v>
      </c>
      <c r="M1437"/>
      <c r="N1437"/>
      <c r="O1437">
        <v>6.19</v>
      </c>
      <c r="P1437">
        <v>0.2</v>
      </c>
      <c r="Q1437">
        <v>40.8</v>
      </c>
      <c r="R1437"/>
      <c r="S1437"/>
      <c r="T1437"/>
      <c r="U1437"/>
      <c r="V1437"/>
      <c r="W1437">
        <v>18</v>
      </c>
    </row>
    <row r="1438" spans="1:23">
      <c r="A1438"/>
      <c r="B1438" t="s">
        <v>61</v>
      </c>
      <c r="C1438" t="s">
        <v>61</v>
      </c>
      <c r="D1438" t="s">
        <v>33</v>
      </c>
      <c r="E1438" t="s">
        <v>34</v>
      </c>
      <c r="F1438" t="str">
        <f>"0001752"</f>
        <v>0001752</v>
      </c>
      <c r="G1438">
        <v>1</v>
      </c>
      <c r="H1438" t="str">
        <f>"00000000"</f>
        <v>00000000</v>
      </c>
      <c r="I1438" t="s">
        <v>35</v>
      </c>
      <c r="J1438"/>
      <c r="K1438">
        <v>22.88</v>
      </c>
      <c r="L1438">
        <v>0.0</v>
      </c>
      <c r="M1438"/>
      <c r="N1438"/>
      <c r="O1438">
        <v>4.12</v>
      </c>
      <c r="P1438">
        <v>0.0</v>
      </c>
      <c r="Q1438">
        <v>27.0</v>
      </c>
      <c r="R1438"/>
      <c r="S1438"/>
      <c r="T1438"/>
      <c r="U1438"/>
      <c r="V1438"/>
      <c r="W1438">
        <v>18</v>
      </c>
    </row>
    <row r="1439" spans="1:23">
      <c r="A1439"/>
      <c r="B1439" t="s">
        <v>61</v>
      </c>
      <c r="C1439" t="s">
        <v>61</v>
      </c>
      <c r="D1439" t="s">
        <v>33</v>
      </c>
      <c r="E1439" t="s">
        <v>34</v>
      </c>
      <c r="F1439" t="str">
        <f>"0001753"</f>
        <v>0001753</v>
      </c>
      <c r="G1439">
        <v>1</v>
      </c>
      <c r="H1439" t="str">
        <f>"00000000"</f>
        <v>00000000</v>
      </c>
      <c r="I1439" t="s">
        <v>35</v>
      </c>
      <c r="J1439"/>
      <c r="K1439">
        <v>40.32</v>
      </c>
      <c r="L1439">
        <v>0.0</v>
      </c>
      <c r="M1439"/>
      <c r="N1439"/>
      <c r="O1439">
        <v>7.26</v>
      </c>
      <c r="P1439">
        <v>0.0</v>
      </c>
      <c r="Q1439">
        <v>47.57</v>
      </c>
      <c r="R1439"/>
      <c r="S1439"/>
      <c r="T1439"/>
      <c r="U1439"/>
      <c r="V1439"/>
      <c r="W1439">
        <v>18</v>
      </c>
    </row>
    <row r="1440" spans="1:23">
      <c r="A1440"/>
      <c r="B1440" t="s">
        <v>61</v>
      </c>
      <c r="C1440" t="s">
        <v>61</v>
      </c>
      <c r="D1440" t="s">
        <v>33</v>
      </c>
      <c r="E1440" t="s">
        <v>34</v>
      </c>
      <c r="F1440" t="str">
        <f>"0001754"</f>
        <v>0001754</v>
      </c>
      <c r="G1440">
        <v>1</v>
      </c>
      <c r="H1440" t="str">
        <f>"00000000"</f>
        <v>00000000</v>
      </c>
      <c r="I1440" t="s">
        <v>35</v>
      </c>
      <c r="J1440"/>
      <c r="K1440">
        <v>6.44</v>
      </c>
      <c r="L1440">
        <v>0.0</v>
      </c>
      <c r="M1440"/>
      <c r="N1440"/>
      <c r="O1440">
        <v>1.16</v>
      </c>
      <c r="P1440">
        <v>0.2</v>
      </c>
      <c r="Q1440">
        <v>7.8</v>
      </c>
      <c r="R1440"/>
      <c r="S1440"/>
      <c r="T1440"/>
      <c r="U1440"/>
      <c r="V1440"/>
      <c r="W1440">
        <v>18</v>
      </c>
    </row>
    <row r="1441" spans="1:23">
      <c r="A1441"/>
      <c r="B1441" t="s">
        <v>61</v>
      </c>
      <c r="C1441" t="s">
        <v>61</v>
      </c>
      <c r="D1441" t="s">
        <v>33</v>
      </c>
      <c r="E1441" t="s">
        <v>34</v>
      </c>
      <c r="F1441" t="str">
        <f>"0001755"</f>
        <v>0001755</v>
      </c>
      <c r="G1441">
        <v>1</v>
      </c>
      <c r="H1441" t="str">
        <f>"00000000"</f>
        <v>00000000</v>
      </c>
      <c r="I1441" t="s">
        <v>35</v>
      </c>
      <c r="J1441"/>
      <c r="K1441">
        <v>33.81</v>
      </c>
      <c r="L1441">
        <v>0.0</v>
      </c>
      <c r="M1441"/>
      <c r="N1441"/>
      <c r="O1441">
        <v>6.09</v>
      </c>
      <c r="P1441">
        <v>0.0</v>
      </c>
      <c r="Q1441">
        <v>39.9</v>
      </c>
      <c r="R1441"/>
      <c r="S1441"/>
      <c r="T1441"/>
      <c r="U1441"/>
      <c r="V1441"/>
      <c r="W1441">
        <v>18</v>
      </c>
    </row>
    <row r="1442" spans="1:23">
      <c r="A1442"/>
      <c r="B1442" t="s">
        <v>61</v>
      </c>
      <c r="C1442" t="s">
        <v>61</v>
      </c>
      <c r="D1442" t="s">
        <v>33</v>
      </c>
      <c r="E1442" t="s">
        <v>34</v>
      </c>
      <c r="F1442" t="str">
        <f>"0001756"</f>
        <v>0001756</v>
      </c>
      <c r="G1442">
        <v>1</v>
      </c>
      <c r="H1442" t="str">
        <f>"00000000"</f>
        <v>00000000</v>
      </c>
      <c r="I1442" t="s">
        <v>35</v>
      </c>
      <c r="J1442"/>
      <c r="K1442">
        <v>2.2</v>
      </c>
      <c r="L1442">
        <v>0.0</v>
      </c>
      <c r="M1442"/>
      <c r="N1442"/>
      <c r="O1442">
        <v>0.4</v>
      </c>
      <c r="P1442">
        <v>0.2</v>
      </c>
      <c r="Q1442">
        <v>2.8</v>
      </c>
      <c r="R1442"/>
      <c r="S1442"/>
      <c r="T1442"/>
      <c r="U1442"/>
      <c r="V1442"/>
      <c r="W1442">
        <v>18</v>
      </c>
    </row>
    <row r="1443" spans="1:23">
      <c r="A1443"/>
      <c r="B1443" t="s">
        <v>61</v>
      </c>
      <c r="C1443" t="s">
        <v>61</v>
      </c>
      <c r="D1443" t="s">
        <v>33</v>
      </c>
      <c r="E1443" t="s">
        <v>34</v>
      </c>
      <c r="F1443" t="str">
        <f>"0001757"</f>
        <v>0001757</v>
      </c>
      <c r="G1443">
        <v>1</v>
      </c>
      <c r="H1443" t="str">
        <f>"00000000"</f>
        <v>00000000</v>
      </c>
      <c r="I1443" t="s">
        <v>35</v>
      </c>
      <c r="J1443"/>
      <c r="K1443">
        <v>2.12</v>
      </c>
      <c r="L1443">
        <v>0.0</v>
      </c>
      <c r="M1443"/>
      <c r="N1443"/>
      <c r="O1443">
        <v>0.38</v>
      </c>
      <c r="P1443">
        <v>0.0</v>
      </c>
      <c r="Q1443">
        <v>2.5</v>
      </c>
      <c r="R1443"/>
      <c r="S1443"/>
      <c r="T1443"/>
      <c r="U1443"/>
      <c r="V1443"/>
      <c r="W1443">
        <v>18</v>
      </c>
    </row>
    <row r="1444" spans="1:23">
      <c r="A1444"/>
      <c r="B1444" t="s">
        <v>61</v>
      </c>
      <c r="C1444" t="s">
        <v>61</v>
      </c>
      <c r="D1444" t="s">
        <v>33</v>
      </c>
      <c r="E1444" t="s">
        <v>34</v>
      </c>
      <c r="F1444" t="str">
        <f>"0001758"</f>
        <v>0001758</v>
      </c>
      <c r="G1444">
        <v>1</v>
      </c>
      <c r="H1444" t="str">
        <f>"00000000"</f>
        <v>00000000</v>
      </c>
      <c r="I1444" t="s">
        <v>35</v>
      </c>
      <c r="J1444"/>
      <c r="K1444">
        <v>2.7</v>
      </c>
      <c r="L1444">
        <v>0.0</v>
      </c>
      <c r="M1444"/>
      <c r="N1444"/>
      <c r="O1444">
        <v>0.49</v>
      </c>
      <c r="P1444">
        <v>0.2</v>
      </c>
      <c r="Q1444">
        <v>3.39</v>
      </c>
      <c r="R1444"/>
      <c r="S1444"/>
      <c r="T1444"/>
      <c r="U1444"/>
      <c r="V1444"/>
      <c r="W1444">
        <v>18</v>
      </c>
    </row>
    <row r="1445" spans="1:23">
      <c r="A1445"/>
      <c r="B1445" t="s">
        <v>61</v>
      </c>
      <c r="C1445" t="s">
        <v>61</v>
      </c>
      <c r="D1445" t="s">
        <v>33</v>
      </c>
      <c r="E1445" t="s">
        <v>34</v>
      </c>
      <c r="F1445" t="str">
        <f>"0001759"</f>
        <v>0001759</v>
      </c>
      <c r="G1445">
        <v>1</v>
      </c>
      <c r="H1445" t="str">
        <f>"00000000"</f>
        <v>00000000</v>
      </c>
      <c r="I1445" t="s">
        <v>35</v>
      </c>
      <c r="J1445"/>
      <c r="K1445">
        <v>8.39</v>
      </c>
      <c r="L1445">
        <v>0.0</v>
      </c>
      <c r="M1445"/>
      <c r="N1445"/>
      <c r="O1445">
        <v>1.51</v>
      </c>
      <c r="P1445">
        <v>0.4</v>
      </c>
      <c r="Q1445">
        <v>10.3</v>
      </c>
      <c r="R1445"/>
      <c r="S1445"/>
      <c r="T1445"/>
      <c r="U1445"/>
      <c r="V1445"/>
      <c r="W1445">
        <v>18</v>
      </c>
    </row>
    <row r="1446" spans="1:23">
      <c r="A1446"/>
      <c r="B1446" t="s">
        <v>61</v>
      </c>
      <c r="C1446" t="s">
        <v>61</v>
      </c>
      <c r="D1446" t="s">
        <v>33</v>
      </c>
      <c r="E1446" t="s">
        <v>34</v>
      </c>
      <c r="F1446" t="str">
        <f>"0001760"</f>
        <v>0001760</v>
      </c>
      <c r="G1446">
        <v>1</v>
      </c>
      <c r="H1446" t="str">
        <f>"00000000"</f>
        <v>00000000</v>
      </c>
      <c r="I1446" t="s">
        <v>35</v>
      </c>
      <c r="J1446"/>
      <c r="K1446">
        <v>54.23</v>
      </c>
      <c r="L1446">
        <v>0.0</v>
      </c>
      <c r="M1446"/>
      <c r="N1446"/>
      <c r="O1446">
        <v>9.76</v>
      </c>
      <c r="P1446">
        <v>0.2</v>
      </c>
      <c r="Q1446">
        <v>64.19</v>
      </c>
      <c r="R1446"/>
      <c r="S1446"/>
      <c r="T1446"/>
      <c r="U1446"/>
      <c r="V1446"/>
      <c r="W1446">
        <v>18</v>
      </c>
    </row>
    <row r="1447" spans="1:23">
      <c r="A1447"/>
      <c r="B1447" t="s">
        <v>61</v>
      </c>
      <c r="C1447" t="s">
        <v>61</v>
      </c>
      <c r="D1447" t="s">
        <v>33</v>
      </c>
      <c r="E1447" t="s">
        <v>34</v>
      </c>
      <c r="F1447" t="str">
        <f>"0001761"</f>
        <v>0001761</v>
      </c>
      <c r="G1447">
        <v>1</v>
      </c>
      <c r="H1447" t="str">
        <f>"00000000"</f>
        <v>00000000</v>
      </c>
      <c r="I1447" t="s">
        <v>35</v>
      </c>
      <c r="J1447"/>
      <c r="K1447">
        <v>13.27</v>
      </c>
      <c r="L1447">
        <v>0.0</v>
      </c>
      <c r="M1447"/>
      <c r="N1447"/>
      <c r="O1447">
        <v>2.39</v>
      </c>
      <c r="P1447">
        <v>0.2</v>
      </c>
      <c r="Q1447">
        <v>15.86</v>
      </c>
      <c r="R1447"/>
      <c r="S1447"/>
      <c r="T1447"/>
      <c r="U1447"/>
      <c r="V1447"/>
      <c r="W1447">
        <v>18</v>
      </c>
    </row>
    <row r="1448" spans="1:23">
      <c r="A1448"/>
      <c r="B1448" t="s">
        <v>61</v>
      </c>
      <c r="C1448" t="s">
        <v>61</v>
      </c>
      <c r="D1448" t="s">
        <v>33</v>
      </c>
      <c r="E1448" t="s">
        <v>34</v>
      </c>
      <c r="F1448" t="str">
        <f>"0001762"</f>
        <v>0001762</v>
      </c>
      <c r="G1448">
        <v>1</v>
      </c>
      <c r="H1448" t="str">
        <f>"00000000"</f>
        <v>00000000</v>
      </c>
      <c r="I1448" t="s">
        <v>35</v>
      </c>
      <c r="J1448"/>
      <c r="K1448">
        <v>7.6</v>
      </c>
      <c r="L1448">
        <v>0.0</v>
      </c>
      <c r="M1448"/>
      <c r="N1448"/>
      <c r="O1448">
        <v>1.37</v>
      </c>
      <c r="P1448">
        <v>0.0</v>
      </c>
      <c r="Q1448">
        <v>8.97</v>
      </c>
      <c r="R1448"/>
      <c r="S1448"/>
      <c r="T1448"/>
      <c r="U1448"/>
      <c r="V1448"/>
      <c r="W1448">
        <v>18</v>
      </c>
    </row>
    <row r="1449" spans="1:23">
      <c r="A1449"/>
      <c r="B1449" t="s">
        <v>61</v>
      </c>
      <c r="C1449" t="s">
        <v>61</v>
      </c>
      <c r="D1449" t="s">
        <v>33</v>
      </c>
      <c r="E1449" t="s">
        <v>34</v>
      </c>
      <c r="F1449" t="str">
        <f>"0001763"</f>
        <v>0001763</v>
      </c>
      <c r="G1449">
        <v>1</v>
      </c>
      <c r="H1449" t="str">
        <f>"00000000"</f>
        <v>00000000</v>
      </c>
      <c r="I1449" t="s">
        <v>35</v>
      </c>
      <c r="J1449"/>
      <c r="K1449">
        <v>15.18</v>
      </c>
      <c r="L1449">
        <v>0.0</v>
      </c>
      <c r="M1449"/>
      <c r="N1449"/>
      <c r="O1449">
        <v>2.73</v>
      </c>
      <c r="P1449">
        <v>0.0</v>
      </c>
      <c r="Q1449">
        <v>17.91</v>
      </c>
      <c r="R1449"/>
      <c r="S1449"/>
      <c r="T1449"/>
      <c r="U1449"/>
      <c r="V1449"/>
      <c r="W1449">
        <v>18</v>
      </c>
    </row>
    <row r="1450" spans="1:23">
      <c r="A1450"/>
      <c r="B1450" t="s">
        <v>61</v>
      </c>
      <c r="C1450" t="s">
        <v>61</v>
      </c>
      <c r="D1450" t="s">
        <v>33</v>
      </c>
      <c r="E1450" t="s">
        <v>34</v>
      </c>
      <c r="F1450" t="str">
        <f>"0001764"</f>
        <v>0001764</v>
      </c>
      <c r="G1450">
        <v>1</v>
      </c>
      <c r="H1450" t="str">
        <f>"00000000"</f>
        <v>00000000</v>
      </c>
      <c r="I1450" t="s">
        <v>35</v>
      </c>
      <c r="J1450"/>
      <c r="K1450">
        <v>5.08</v>
      </c>
      <c r="L1450">
        <v>0.0</v>
      </c>
      <c r="M1450"/>
      <c r="N1450"/>
      <c r="O1450">
        <v>0.92</v>
      </c>
      <c r="P1450">
        <v>0.0</v>
      </c>
      <c r="Q1450">
        <v>6.0</v>
      </c>
      <c r="R1450"/>
      <c r="S1450"/>
      <c r="T1450"/>
      <c r="U1450"/>
      <c r="V1450"/>
      <c r="W1450">
        <v>18</v>
      </c>
    </row>
    <row r="1451" spans="1:23">
      <c r="A1451"/>
      <c r="B1451" t="s">
        <v>61</v>
      </c>
      <c r="C1451" t="s">
        <v>61</v>
      </c>
      <c r="D1451" t="s">
        <v>33</v>
      </c>
      <c r="E1451" t="s">
        <v>34</v>
      </c>
      <c r="F1451" t="str">
        <f>"0001765"</f>
        <v>0001765</v>
      </c>
      <c r="G1451">
        <v>1</v>
      </c>
      <c r="H1451" t="str">
        <f>"00000000"</f>
        <v>00000000</v>
      </c>
      <c r="I1451" t="s">
        <v>35</v>
      </c>
      <c r="J1451"/>
      <c r="K1451">
        <v>33.46</v>
      </c>
      <c r="L1451">
        <v>0.0</v>
      </c>
      <c r="M1451"/>
      <c r="N1451"/>
      <c r="O1451">
        <v>6.02</v>
      </c>
      <c r="P1451">
        <v>0.2</v>
      </c>
      <c r="Q1451">
        <v>39.68</v>
      </c>
      <c r="R1451"/>
      <c r="S1451"/>
      <c r="T1451"/>
      <c r="U1451"/>
      <c r="V1451"/>
      <c r="W1451">
        <v>18</v>
      </c>
    </row>
    <row r="1452" spans="1:23">
      <c r="A1452"/>
      <c r="B1452" t="s">
        <v>61</v>
      </c>
      <c r="C1452" t="s">
        <v>61</v>
      </c>
      <c r="D1452" t="s">
        <v>33</v>
      </c>
      <c r="E1452" t="s">
        <v>34</v>
      </c>
      <c r="F1452" t="str">
        <f>"0001766"</f>
        <v>0001766</v>
      </c>
      <c r="G1452">
        <v>1</v>
      </c>
      <c r="H1452" t="str">
        <f>"00000000"</f>
        <v>00000000</v>
      </c>
      <c r="I1452" t="s">
        <v>35</v>
      </c>
      <c r="J1452"/>
      <c r="K1452">
        <v>1.19</v>
      </c>
      <c r="L1452">
        <v>0.0</v>
      </c>
      <c r="M1452"/>
      <c r="N1452"/>
      <c r="O1452">
        <v>0.21</v>
      </c>
      <c r="P1452">
        <v>0.0</v>
      </c>
      <c r="Q1452">
        <v>1.4</v>
      </c>
      <c r="R1452"/>
      <c r="S1452"/>
      <c r="T1452"/>
      <c r="U1452"/>
      <c r="V1452"/>
      <c r="W1452">
        <v>18</v>
      </c>
    </row>
    <row r="1453" spans="1:23">
      <c r="A1453"/>
      <c r="B1453" t="s">
        <v>61</v>
      </c>
      <c r="C1453" t="s">
        <v>61</v>
      </c>
      <c r="D1453" t="s">
        <v>33</v>
      </c>
      <c r="E1453" t="s">
        <v>34</v>
      </c>
      <c r="F1453" t="str">
        <f>"0001767"</f>
        <v>0001767</v>
      </c>
      <c r="G1453">
        <v>1</v>
      </c>
      <c r="H1453" t="str">
        <f>"00000000"</f>
        <v>00000000</v>
      </c>
      <c r="I1453" t="s">
        <v>35</v>
      </c>
      <c r="J1453"/>
      <c r="K1453">
        <v>3.98</v>
      </c>
      <c r="L1453">
        <v>0.0</v>
      </c>
      <c r="M1453"/>
      <c r="N1453"/>
      <c r="O1453">
        <v>0.72</v>
      </c>
      <c r="P1453">
        <v>0.0</v>
      </c>
      <c r="Q1453">
        <v>4.7</v>
      </c>
      <c r="R1453"/>
      <c r="S1453"/>
      <c r="T1453"/>
      <c r="U1453"/>
      <c r="V1453"/>
      <c r="W1453">
        <v>18</v>
      </c>
    </row>
    <row r="1454" spans="1:23">
      <c r="A1454"/>
      <c r="B1454" t="s">
        <v>61</v>
      </c>
      <c r="C1454" t="s">
        <v>61</v>
      </c>
      <c r="D1454" t="s">
        <v>33</v>
      </c>
      <c r="E1454" t="s">
        <v>34</v>
      </c>
      <c r="F1454" t="str">
        <f>"0001768"</f>
        <v>0001768</v>
      </c>
      <c r="G1454">
        <v>1</v>
      </c>
      <c r="H1454" t="str">
        <f>"00000000"</f>
        <v>00000000</v>
      </c>
      <c r="I1454" t="s">
        <v>35</v>
      </c>
      <c r="J1454"/>
      <c r="K1454">
        <v>14.07</v>
      </c>
      <c r="L1454">
        <v>0.0</v>
      </c>
      <c r="M1454"/>
      <c r="N1454"/>
      <c r="O1454">
        <v>2.53</v>
      </c>
      <c r="P1454">
        <v>0.2</v>
      </c>
      <c r="Q1454">
        <v>16.8</v>
      </c>
      <c r="R1454"/>
      <c r="S1454"/>
      <c r="T1454"/>
      <c r="U1454"/>
      <c r="V1454"/>
      <c r="W1454">
        <v>18</v>
      </c>
    </row>
    <row r="1455" spans="1:23">
      <c r="A1455"/>
      <c r="B1455" t="s">
        <v>61</v>
      </c>
      <c r="C1455" t="s">
        <v>61</v>
      </c>
      <c r="D1455" t="s">
        <v>33</v>
      </c>
      <c r="E1455" t="s">
        <v>34</v>
      </c>
      <c r="F1455" t="str">
        <f>"0001769"</f>
        <v>0001769</v>
      </c>
      <c r="G1455">
        <v>1</v>
      </c>
      <c r="H1455" t="str">
        <f>"00000000"</f>
        <v>00000000</v>
      </c>
      <c r="I1455" t="s">
        <v>35</v>
      </c>
      <c r="J1455"/>
      <c r="K1455">
        <v>1.91</v>
      </c>
      <c r="L1455">
        <v>0.0</v>
      </c>
      <c r="M1455"/>
      <c r="N1455"/>
      <c r="O1455">
        <v>0.34</v>
      </c>
      <c r="P1455">
        <v>0.0</v>
      </c>
      <c r="Q1455">
        <v>2.25</v>
      </c>
      <c r="R1455"/>
      <c r="S1455"/>
      <c r="T1455"/>
      <c r="U1455"/>
      <c r="V1455"/>
      <c r="W1455">
        <v>18</v>
      </c>
    </row>
    <row r="1456" spans="1:23">
      <c r="A1456"/>
      <c r="B1456" t="s">
        <v>61</v>
      </c>
      <c r="C1456" t="s">
        <v>61</v>
      </c>
      <c r="D1456" t="s">
        <v>33</v>
      </c>
      <c r="E1456" t="s">
        <v>34</v>
      </c>
      <c r="F1456" t="str">
        <f>"0001770"</f>
        <v>0001770</v>
      </c>
      <c r="G1456">
        <v>1</v>
      </c>
      <c r="H1456" t="str">
        <f>"00000000"</f>
        <v>00000000</v>
      </c>
      <c r="I1456" t="s">
        <v>35</v>
      </c>
      <c r="J1456"/>
      <c r="K1456">
        <v>1.27</v>
      </c>
      <c r="L1456">
        <v>0.0</v>
      </c>
      <c r="M1456"/>
      <c r="N1456"/>
      <c r="O1456">
        <v>0.23</v>
      </c>
      <c r="P1456">
        <v>0.0</v>
      </c>
      <c r="Q1456">
        <v>1.5</v>
      </c>
      <c r="R1456"/>
      <c r="S1456"/>
      <c r="T1456"/>
      <c r="U1456"/>
      <c r="V1456"/>
      <c r="W1456">
        <v>18</v>
      </c>
    </row>
    <row r="1457" spans="1:23">
      <c r="A1457"/>
      <c r="B1457" t="s">
        <v>61</v>
      </c>
      <c r="C1457" t="s">
        <v>61</v>
      </c>
      <c r="D1457" t="s">
        <v>33</v>
      </c>
      <c r="E1457" t="s">
        <v>34</v>
      </c>
      <c r="F1457" t="str">
        <f>"0001771"</f>
        <v>0001771</v>
      </c>
      <c r="G1457">
        <v>1</v>
      </c>
      <c r="H1457" t="str">
        <f>"00000000"</f>
        <v>00000000</v>
      </c>
      <c r="I1457" t="s">
        <v>35</v>
      </c>
      <c r="J1457"/>
      <c r="K1457">
        <v>8.73</v>
      </c>
      <c r="L1457">
        <v>0.0</v>
      </c>
      <c r="M1457"/>
      <c r="N1457"/>
      <c r="O1457">
        <v>1.57</v>
      </c>
      <c r="P1457">
        <v>0.0</v>
      </c>
      <c r="Q1457">
        <v>10.3</v>
      </c>
      <c r="R1457"/>
      <c r="S1457"/>
      <c r="T1457"/>
      <c r="U1457"/>
      <c r="V1457"/>
      <c r="W1457">
        <v>18</v>
      </c>
    </row>
    <row r="1458" spans="1:23">
      <c r="A1458"/>
      <c r="B1458" t="s">
        <v>61</v>
      </c>
      <c r="C1458" t="s">
        <v>61</v>
      </c>
      <c r="D1458" t="s">
        <v>33</v>
      </c>
      <c r="E1458" t="s">
        <v>34</v>
      </c>
      <c r="F1458" t="str">
        <f>"0001772"</f>
        <v>0001772</v>
      </c>
      <c r="G1458">
        <v>1</v>
      </c>
      <c r="H1458" t="str">
        <f>"00000000"</f>
        <v>00000000</v>
      </c>
      <c r="I1458" t="s">
        <v>35</v>
      </c>
      <c r="J1458"/>
      <c r="K1458">
        <v>11.75</v>
      </c>
      <c r="L1458">
        <v>0.0</v>
      </c>
      <c r="M1458"/>
      <c r="N1458"/>
      <c r="O1458">
        <v>2.12</v>
      </c>
      <c r="P1458">
        <v>0.2</v>
      </c>
      <c r="Q1458">
        <v>14.07</v>
      </c>
      <c r="R1458"/>
      <c r="S1458"/>
      <c r="T1458"/>
      <c r="U1458"/>
      <c r="V1458"/>
      <c r="W1458">
        <v>18</v>
      </c>
    </row>
    <row r="1459" spans="1:23">
      <c r="A1459"/>
      <c r="B1459" t="s">
        <v>61</v>
      </c>
      <c r="C1459" t="s">
        <v>61</v>
      </c>
      <c r="D1459" t="s">
        <v>33</v>
      </c>
      <c r="E1459" t="s">
        <v>34</v>
      </c>
      <c r="F1459" t="str">
        <f>"0001773"</f>
        <v>0001773</v>
      </c>
      <c r="G1459">
        <v>1</v>
      </c>
      <c r="H1459" t="str">
        <f>"00000000"</f>
        <v>00000000</v>
      </c>
      <c r="I1459" t="s">
        <v>35</v>
      </c>
      <c r="J1459"/>
      <c r="K1459">
        <v>21.18</v>
      </c>
      <c r="L1459">
        <v>0.0</v>
      </c>
      <c r="M1459"/>
      <c r="N1459"/>
      <c r="O1459">
        <v>3.81</v>
      </c>
      <c r="P1459">
        <v>0.0</v>
      </c>
      <c r="Q1459">
        <v>24.99</v>
      </c>
      <c r="R1459"/>
      <c r="S1459"/>
      <c r="T1459"/>
      <c r="U1459"/>
      <c r="V1459"/>
      <c r="W1459">
        <v>18</v>
      </c>
    </row>
    <row r="1460" spans="1:23">
      <c r="A1460"/>
      <c r="B1460" t="s">
        <v>61</v>
      </c>
      <c r="C1460" t="s">
        <v>61</v>
      </c>
      <c r="D1460" t="s">
        <v>33</v>
      </c>
      <c r="E1460" t="s">
        <v>34</v>
      </c>
      <c r="F1460" t="str">
        <f>"0001774"</f>
        <v>0001774</v>
      </c>
      <c r="G1460">
        <v>1</v>
      </c>
      <c r="H1460" t="str">
        <f>"00000000"</f>
        <v>00000000</v>
      </c>
      <c r="I1460" t="s">
        <v>35</v>
      </c>
      <c r="J1460"/>
      <c r="K1460">
        <v>28.38</v>
      </c>
      <c r="L1460">
        <v>0.0</v>
      </c>
      <c r="M1460"/>
      <c r="N1460"/>
      <c r="O1460">
        <v>5.11</v>
      </c>
      <c r="P1460">
        <v>0.0</v>
      </c>
      <c r="Q1460">
        <v>33.49</v>
      </c>
      <c r="R1460"/>
      <c r="S1460"/>
      <c r="T1460"/>
      <c r="U1460"/>
      <c r="V1460"/>
      <c r="W1460">
        <v>18</v>
      </c>
    </row>
    <row r="1461" spans="1:23">
      <c r="A1461"/>
      <c r="B1461" t="s">
        <v>61</v>
      </c>
      <c r="C1461" t="s">
        <v>61</v>
      </c>
      <c r="D1461" t="s">
        <v>33</v>
      </c>
      <c r="E1461" t="s">
        <v>34</v>
      </c>
      <c r="F1461" t="str">
        <f>"0001775"</f>
        <v>0001775</v>
      </c>
      <c r="G1461">
        <v>1</v>
      </c>
      <c r="H1461" t="str">
        <f>"00000000"</f>
        <v>00000000</v>
      </c>
      <c r="I1461" t="s">
        <v>35</v>
      </c>
      <c r="J1461"/>
      <c r="K1461">
        <v>70.02</v>
      </c>
      <c r="L1461">
        <v>0.0</v>
      </c>
      <c r="M1461"/>
      <c r="N1461"/>
      <c r="O1461">
        <v>12.6</v>
      </c>
      <c r="P1461">
        <v>0.4</v>
      </c>
      <c r="Q1461">
        <v>83.02</v>
      </c>
      <c r="R1461"/>
      <c r="S1461"/>
      <c r="T1461"/>
      <c r="U1461"/>
      <c r="V1461"/>
      <c r="W1461">
        <v>18</v>
      </c>
    </row>
    <row r="1462" spans="1:23">
      <c r="A1462"/>
      <c r="B1462" t="s">
        <v>61</v>
      </c>
      <c r="C1462" t="s">
        <v>61</v>
      </c>
      <c r="D1462" t="s">
        <v>33</v>
      </c>
      <c r="E1462" t="s">
        <v>34</v>
      </c>
      <c r="F1462" t="str">
        <f>"0001776"</f>
        <v>0001776</v>
      </c>
      <c r="G1462">
        <v>1</v>
      </c>
      <c r="H1462" t="str">
        <f>"00000000"</f>
        <v>00000000</v>
      </c>
      <c r="I1462" t="s">
        <v>35</v>
      </c>
      <c r="J1462"/>
      <c r="K1462">
        <v>3.98</v>
      </c>
      <c r="L1462">
        <v>0.0</v>
      </c>
      <c r="M1462"/>
      <c r="N1462"/>
      <c r="O1462">
        <v>0.72</v>
      </c>
      <c r="P1462">
        <v>0.2</v>
      </c>
      <c r="Q1462">
        <v>4.9</v>
      </c>
      <c r="R1462"/>
      <c r="S1462"/>
      <c r="T1462"/>
      <c r="U1462"/>
      <c r="V1462"/>
      <c r="W1462">
        <v>18</v>
      </c>
    </row>
    <row r="1463" spans="1:23">
      <c r="A1463"/>
      <c r="B1463" t="s">
        <v>61</v>
      </c>
      <c r="C1463" t="s">
        <v>61</v>
      </c>
      <c r="D1463" t="s">
        <v>33</v>
      </c>
      <c r="E1463" t="s">
        <v>34</v>
      </c>
      <c r="F1463" t="str">
        <f>"0001777"</f>
        <v>0001777</v>
      </c>
      <c r="G1463">
        <v>1</v>
      </c>
      <c r="H1463" t="str">
        <f>"00000000"</f>
        <v>00000000</v>
      </c>
      <c r="I1463" t="s">
        <v>35</v>
      </c>
      <c r="J1463"/>
      <c r="K1463">
        <v>2.77</v>
      </c>
      <c r="L1463">
        <v>0.0</v>
      </c>
      <c r="M1463"/>
      <c r="N1463"/>
      <c r="O1463">
        <v>0.5</v>
      </c>
      <c r="P1463">
        <v>0.0</v>
      </c>
      <c r="Q1463">
        <v>3.27</v>
      </c>
      <c r="R1463"/>
      <c r="S1463"/>
      <c r="T1463"/>
      <c r="U1463"/>
      <c r="V1463"/>
      <c r="W1463">
        <v>18</v>
      </c>
    </row>
    <row r="1464" spans="1:23">
      <c r="A1464"/>
      <c r="B1464" t="s">
        <v>61</v>
      </c>
      <c r="C1464" t="s">
        <v>61</v>
      </c>
      <c r="D1464" t="s">
        <v>33</v>
      </c>
      <c r="E1464" t="s">
        <v>34</v>
      </c>
      <c r="F1464" t="str">
        <f>"0001778"</f>
        <v>0001778</v>
      </c>
      <c r="G1464">
        <v>1</v>
      </c>
      <c r="H1464" t="str">
        <f>"00000000"</f>
        <v>00000000</v>
      </c>
      <c r="I1464" t="s">
        <v>35</v>
      </c>
      <c r="J1464"/>
      <c r="K1464">
        <v>5.08</v>
      </c>
      <c r="L1464">
        <v>0.0</v>
      </c>
      <c r="M1464"/>
      <c r="N1464"/>
      <c r="O1464">
        <v>0.92</v>
      </c>
      <c r="P1464">
        <v>0.0</v>
      </c>
      <c r="Q1464">
        <v>6.0</v>
      </c>
      <c r="R1464"/>
      <c r="S1464"/>
      <c r="T1464"/>
      <c r="U1464"/>
      <c r="V1464"/>
      <c r="W1464">
        <v>18</v>
      </c>
    </row>
    <row r="1465" spans="1:23">
      <c r="A1465"/>
      <c r="B1465" t="s">
        <v>61</v>
      </c>
      <c r="C1465" t="s">
        <v>61</v>
      </c>
      <c r="D1465" t="s">
        <v>36</v>
      </c>
      <c r="E1465" t="s">
        <v>37</v>
      </c>
      <c r="F1465" t="str">
        <f>"0000031"</f>
        <v>0000031</v>
      </c>
      <c r="G1465">
        <v>6</v>
      </c>
      <c r="H1465" t="str">
        <f>"20547236875"</f>
        <v>20547236875</v>
      </c>
      <c r="I1465" t="s">
        <v>44</v>
      </c>
      <c r="J1465"/>
      <c r="K1465">
        <v>21.75</v>
      </c>
      <c r="L1465">
        <v>0.0</v>
      </c>
      <c r="M1465"/>
      <c r="N1465"/>
      <c r="O1465">
        <v>3.91</v>
      </c>
      <c r="P1465">
        <v>0.2</v>
      </c>
      <c r="Q1465">
        <v>25.86</v>
      </c>
      <c r="R1465"/>
      <c r="S1465"/>
      <c r="T1465"/>
      <c r="U1465"/>
      <c r="V1465"/>
      <c r="W1465">
        <v>18</v>
      </c>
    </row>
    <row r="1466" spans="1:23">
      <c r="A1466"/>
      <c r="B1466" t="s">
        <v>61</v>
      </c>
      <c r="C1466" t="s">
        <v>61</v>
      </c>
      <c r="D1466" t="s">
        <v>33</v>
      </c>
      <c r="E1466" t="s">
        <v>34</v>
      </c>
      <c r="F1466" t="str">
        <f>"0001779"</f>
        <v>0001779</v>
      </c>
      <c r="G1466">
        <v>1</v>
      </c>
      <c r="H1466" t="str">
        <f>"00000000"</f>
        <v>00000000</v>
      </c>
      <c r="I1466" t="s">
        <v>35</v>
      </c>
      <c r="J1466"/>
      <c r="K1466">
        <v>5.51</v>
      </c>
      <c r="L1466">
        <v>0.0</v>
      </c>
      <c r="M1466"/>
      <c r="N1466"/>
      <c r="O1466">
        <v>0.99</v>
      </c>
      <c r="P1466">
        <v>0.0</v>
      </c>
      <c r="Q1466">
        <v>6.5</v>
      </c>
      <c r="R1466"/>
      <c r="S1466"/>
      <c r="T1466"/>
      <c r="U1466"/>
      <c r="V1466"/>
      <c r="W1466">
        <v>18</v>
      </c>
    </row>
    <row r="1467" spans="1:23">
      <c r="A1467"/>
      <c r="B1467" t="s">
        <v>61</v>
      </c>
      <c r="C1467" t="s">
        <v>61</v>
      </c>
      <c r="D1467" t="s">
        <v>33</v>
      </c>
      <c r="E1467" t="s">
        <v>34</v>
      </c>
      <c r="F1467" t="str">
        <f>"0001780"</f>
        <v>0001780</v>
      </c>
      <c r="G1467">
        <v>1</v>
      </c>
      <c r="H1467" t="str">
        <f>"00000000"</f>
        <v>00000000</v>
      </c>
      <c r="I1467" t="s">
        <v>35</v>
      </c>
      <c r="J1467"/>
      <c r="K1467">
        <v>8.73</v>
      </c>
      <c r="L1467">
        <v>0.0</v>
      </c>
      <c r="M1467"/>
      <c r="N1467"/>
      <c r="O1467">
        <v>1.57</v>
      </c>
      <c r="P1467">
        <v>0.2</v>
      </c>
      <c r="Q1467">
        <v>10.5</v>
      </c>
      <c r="R1467"/>
      <c r="S1467"/>
      <c r="T1467"/>
      <c r="U1467"/>
      <c r="V1467"/>
      <c r="W1467">
        <v>18</v>
      </c>
    </row>
    <row r="1468" spans="1:23">
      <c r="A1468"/>
      <c r="B1468" t="s">
        <v>61</v>
      </c>
      <c r="C1468" t="s">
        <v>61</v>
      </c>
      <c r="D1468" t="s">
        <v>33</v>
      </c>
      <c r="E1468" t="s">
        <v>34</v>
      </c>
      <c r="F1468" t="str">
        <f>"0001781"</f>
        <v>0001781</v>
      </c>
      <c r="G1468">
        <v>1</v>
      </c>
      <c r="H1468" t="str">
        <f>"00000000"</f>
        <v>00000000</v>
      </c>
      <c r="I1468" t="s">
        <v>35</v>
      </c>
      <c r="J1468"/>
      <c r="K1468">
        <v>33.81</v>
      </c>
      <c r="L1468">
        <v>0.0</v>
      </c>
      <c r="M1468"/>
      <c r="N1468"/>
      <c r="O1468">
        <v>6.09</v>
      </c>
      <c r="P1468">
        <v>0.0</v>
      </c>
      <c r="Q1468">
        <v>39.9</v>
      </c>
      <c r="R1468"/>
      <c r="S1468"/>
      <c r="T1468"/>
      <c r="U1468"/>
      <c r="V1468"/>
      <c r="W1468">
        <v>18</v>
      </c>
    </row>
    <row r="1469" spans="1:23">
      <c r="A1469"/>
      <c r="B1469" t="s">
        <v>61</v>
      </c>
      <c r="C1469" t="s">
        <v>61</v>
      </c>
      <c r="D1469" t="s">
        <v>33</v>
      </c>
      <c r="E1469" t="s">
        <v>34</v>
      </c>
      <c r="F1469" t="str">
        <f>"0001782"</f>
        <v>0001782</v>
      </c>
      <c r="G1469">
        <v>1</v>
      </c>
      <c r="H1469" t="str">
        <f>"00000000"</f>
        <v>00000000</v>
      </c>
      <c r="I1469" t="s">
        <v>35</v>
      </c>
      <c r="J1469"/>
      <c r="K1469">
        <v>8.81</v>
      </c>
      <c r="L1469">
        <v>0.0</v>
      </c>
      <c r="M1469"/>
      <c r="N1469"/>
      <c r="O1469">
        <v>1.59</v>
      </c>
      <c r="P1469">
        <v>0.0</v>
      </c>
      <c r="Q1469">
        <v>10.4</v>
      </c>
      <c r="R1469"/>
      <c r="S1469"/>
      <c r="T1469"/>
      <c r="U1469"/>
      <c r="V1469"/>
      <c r="W1469">
        <v>18</v>
      </c>
    </row>
    <row r="1470" spans="1:23">
      <c r="A1470"/>
      <c r="B1470" t="s">
        <v>61</v>
      </c>
      <c r="C1470" t="s">
        <v>61</v>
      </c>
      <c r="D1470" t="s">
        <v>33</v>
      </c>
      <c r="E1470" t="s">
        <v>34</v>
      </c>
      <c r="F1470" t="str">
        <f>"0001783"</f>
        <v>0001783</v>
      </c>
      <c r="G1470">
        <v>1</v>
      </c>
      <c r="H1470" t="str">
        <f>"00000000"</f>
        <v>00000000</v>
      </c>
      <c r="I1470" t="s">
        <v>35</v>
      </c>
      <c r="J1470"/>
      <c r="K1470">
        <v>2.88</v>
      </c>
      <c r="L1470">
        <v>0.0</v>
      </c>
      <c r="M1470"/>
      <c r="N1470"/>
      <c r="O1470">
        <v>0.52</v>
      </c>
      <c r="P1470">
        <v>0.0</v>
      </c>
      <c r="Q1470">
        <v>3.4</v>
      </c>
      <c r="R1470"/>
      <c r="S1470"/>
      <c r="T1470"/>
      <c r="U1470"/>
      <c r="V1470"/>
      <c r="W1470">
        <v>18</v>
      </c>
    </row>
    <row r="1471" spans="1:23">
      <c r="A1471"/>
      <c r="B1471" t="s">
        <v>61</v>
      </c>
      <c r="C1471" t="s">
        <v>61</v>
      </c>
      <c r="D1471" t="s">
        <v>33</v>
      </c>
      <c r="E1471" t="s">
        <v>34</v>
      </c>
      <c r="F1471" t="str">
        <f>"0001784"</f>
        <v>0001784</v>
      </c>
      <c r="G1471">
        <v>1</v>
      </c>
      <c r="H1471" t="str">
        <f>"00000000"</f>
        <v>00000000</v>
      </c>
      <c r="I1471" t="s">
        <v>35</v>
      </c>
      <c r="J1471"/>
      <c r="K1471">
        <v>1.22</v>
      </c>
      <c r="L1471">
        <v>0.0</v>
      </c>
      <c r="M1471"/>
      <c r="N1471"/>
      <c r="O1471">
        <v>0.22</v>
      </c>
      <c r="P1471">
        <v>0.0</v>
      </c>
      <c r="Q1471">
        <v>1.44</v>
      </c>
      <c r="R1471"/>
      <c r="S1471"/>
      <c r="T1471"/>
      <c r="U1471"/>
      <c r="V1471"/>
      <c r="W1471">
        <v>18</v>
      </c>
    </row>
    <row r="1472" spans="1:23">
      <c r="A1472"/>
      <c r="B1472" t="s">
        <v>61</v>
      </c>
      <c r="C1472" t="s">
        <v>61</v>
      </c>
      <c r="D1472" t="s">
        <v>33</v>
      </c>
      <c r="E1472" t="s">
        <v>34</v>
      </c>
      <c r="F1472" t="str">
        <f>"0001785"</f>
        <v>0001785</v>
      </c>
      <c r="G1472">
        <v>1</v>
      </c>
      <c r="H1472" t="str">
        <f>"00000000"</f>
        <v>00000000</v>
      </c>
      <c r="I1472" t="s">
        <v>35</v>
      </c>
      <c r="J1472"/>
      <c r="K1472">
        <v>9.75</v>
      </c>
      <c r="L1472">
        <v>0.0</v>
      </c>
      <c r="M1472"/>
      <c r="N1472"/>
      <c r="O1472">
        <v>1.75</v>
      </c>
      <c r="P1472">
        <v>0.2</v>
      </c>
      <c r="Q1472">
        <v>11.7</v>
      </c>
      <c r="R1472"/>
      <c r="S1472"/>
      <c r="T1472"/>
      <c r="U1472"/>
      <c r="V1472"/>
      <c r="W1472">
        <v>18</v>
      </c>
    </row>
    <row r="1473" spans="1:23">
      <c r="A1473"/>
      <c r="B1473" t="s">
        <v>61</v>
      </c>
      <c r="C1473" t="s">
        <v>61</v>
      </c>
      <c r="D1473" t="s">
        <v>33</v>
      </c>
      <c r="E1473" t="s">
        <v>34</v>
      </c>
      <c r="F1473" t="str">
        <f>"0001786"</f>
        <v>0001786</v>
      </c>
      <c r="G1473">
        <v>1</v>
      </c>
      <c r="H1473" t="str">
        <f>"00000000"</f>
        <v>00000000</v>
      </c>
      <c r="I1473" t="s">
        <v>35</v>
      </c>
      <c r="J1473"/>
      <c r="K1473">
        <v>2.69</v>
      </c>
      <c r="L1473">
        <v>0.0</v>
      </c>
      <c r="M1473"/>
      <c r="N1473"/>
      <c r="O1473">
        <v>0.48</v>
      </c>
      <c r="P1473">
        <v>0.0</v>
      </c>
      <c r="Q1473">
        <v>3.17</v>
      </c>
      <c r="R1473"/>
      <c r="S1473"/>
      <c r="T1473"/>
      <c r="U1473"/>
      <c r="V1473"/>
      <c r="W1473">
        <v>18</v>
      </c>
    </row>
    <row r="1474" spans="1:23">
      <c r="A1474"/>
      <c r="B1474" t="s">
        <v>61</v>
      </c>
      <c r="C1474" t="s">
        <v>61</v>
      </c>
      <c r="D1474" t="s">
        <v>33</v>
      </c>
      <c r="E1474" t="s">
        <v>34</v>
      </c>
      <c r="F1474" t="str">
        <f>"0001787"</f>
        <v>0001787</v>
      </c>
      <c r="G1474">
        <v>1</v>
      </c>
      <c r="H1474" t="str">
        <f>"00000000"</f>
        <v>00000000</v>
      </c>
      <c r="I1474" t="s">
        <v>35</v>
      </c>
      <c r="J1474"/>
      <c r="K1474">
        <v>1.86</v>
      </c>
      <c r="L1474">
        <v>0.0</v>
      </c>
      <c r="M1474"/>
      <c r="N1474"/>
      <c r="O1474">
        <v>0.34</v>
      </c>
      <c r="P1474">
        <v>0.0</v>
      </c>
      <c r="Q1474">
        <v>2.2</v>
      </c>
      <c r="R1474"/>
      <c r="S1474"/>
      <c r="T1474"/>
      <c r="U1474"/>
      <c r="V1474"/>
      <c r="W1474">
        <v>18</v>
      </c>
    </row>
    <row r="1475" spans="1:23">
      <c r="A1475"/>
      <c r="B1475" t="s">
        <v>61</v>
      </c>
      <c r="C1475" t="s">
        <v>61</v>
      </c>
      <c r="D1475" t="s">
        <v>33</v>
      </c>
      <c r="E1475" t="s">
        <v>34</v>
      </c>
      <c r="F1475" t="str">
        <f>"0001788"</f>
        <v>0001788</v>
      </c>
      <c r="G1475">
        <v>1</v>
      </c>
      <c r="H1475" t="str">
        <f>"00000000"</f>
        <v>00000000</v>
      </c>
      <c r="I1475" t="s">
        <v>35</v>
      </c>
      <c r="J1475"/>
      <c r="K1475">
        <v>9.24</v>
      </c>
      <c r="L1475">
        <v>0.0</v>
      </c>
      <c r="M1475"/>
      <c r="N1475"/>
      <c r="O1475">
        <v>1.66</v>
      </c>
      <c r="P1475">
        <v>0.0</v>
      </c>
      <c r="Q1475">
        <v>10.9</v>
      </c>
      <c r="R1475"/>
      <c r="S1475"/>
      <c r="T1475"/>
      <c r="U1475"/>
      <c r="V1475"/>
      <c r="W1475">
        <v>18</v>
      </c>
    </row>
    <row r="1476" spans="1:23">
      <c r="A1476"/>
      <c r="B1476" t="s">
        <v>61</v>
      </c>
      <c r="C1476" t="s">
        <v>61</v>
      </c>
      <c r="D1476" t="s">
        <v>33</v>
      </c>
      <c r="E1476" t="s">
        <v>34</v>
      </c>
      <c r="F1476" t="str">
        <f>"0001789"</f>
        <v>0001789</v>
      </c>
      <c r="G1476">
        <v>1</v>
      </c>
      <c r="H1476" t="str">
        <f>"00000000"</f>
        <v>00000000</v>
      </c>
      <c r="I1476" t="s">
        <v>35</v>
      </c>
      <c r="J1476"/>
      <c r="K1476">
        <v>7.63</v>
      </c>
      <c r="L1476">
        <v>0.0</v>
      </c>
      <c r="M1476"/>
      <c r="N1476"/>
      <c r="O1476">
        <v>1.37</v>
      </c>
      <c r="P1476">
        <v>0.0</v>
      </c>
      <c r="Q1476">
        <v>9.0</v>
      </c>
      <c r="R1476"/>
      <c r="S1476"/>
      <c r="T1476"/>
      <c r="U1476"/>
      <c r="V1476"/>
      <c r="W1476">
        <v>18</v>
      </c>
    </row>
    <row r="1477" spans="1:23">
      <c r="A1477"/>
      <c r="B1477" t="s">
        <v>61</v>
      </c>
      <c r="C1477" t="s">
        <v>61</v>
      </c>
      <c r="D1477" t="s">
        <v>33</v>
      </c>
      <c r="E1477" t="s">
        <v>34</v>
      </c>
      <c r="F1477" t="str">
        <f>"0001790"</f>
        <v>0001790</v>
      </c>
      <c r="G1477">
        <v>1</v>
      </c>
      <c r="H1477" t="str">
        <f>"00000000"</f>
        <v>00000000</v>
      </c>
      <c r="I1477" t="s">
        <v>35</v>
      </c>
      <c r="J1477"/>
      <c r="K1477">
        <v>10.09</v>
      </c>
      <c r="L1477">
        <v>0.0</v>
      </c>
      <c r="M1477"/>
      <c r="N1477"/>
      <c r="O1477">
        <v>1.82</v>
      </c>
      <c r="P1477">
        <v>0.2</v>
      </c>
      <c r="Q1477">
        <v>12.11</v>
      </c>
      <c r="R1477"/>
      <c r="S1477"/>
      <c r="T1477"/>
      <c r="U1477"/>
      <c r="V1477"/>
      <c r="W1477">
        <v>18</v>
      </c>
    </row>
    <row r="1478" spans="1:23">
      <c r="A1478"/>
      <c r="B1478" t="s">
        <v>61</v>
      </c>
      <c r="C1478" t="s">
        <v>61</v>
      </c>
      <c r="D1478" t="s">
        <v>33</v>
      </c>
      <c r="E1478" t="s">
        <v>34</v>
      </c>
      <c r="F1478" t="str">
        <f>"0001791"</f>
        <v>0001791</v>
      </c>
      <c r="G1478">
        <v>1</v>
      </c>
      <c r="H1478" t="str">
        <f>"00000000"</f>
        <v>00000000</v>
      </c>
      <c r="I1478" t="s">
        <v>35</v>
      </c>
      <c r="J1478"/>
      <c r="K1478">
        <v>11.27</v>
      </c>
      <c r="L1478">
        <v>0.0</v>
      </c>
      <c r="M1478"/>
      <c r="N1478"/>
      <c r="O1478">
        <v>2.03</v>
      </c>
      <c r="P1478">
        <v>0.0</v>
      </c>
      <c r="Q1478">
        <v>13.3</v>
      </c>
      <c r="R1478"/>
      <c r="S1478"/>
      <c r="T1478"/>
      <c r="U1478"/>
      <c r="V1478"/>
      <c r="W1478">
        <v>18</v>
      </c>
    </row>
    <row r="1479" spans="1:23">
      <c r="A1479"/>
      <c r="B1479" t="s">
        <v>61</v>
      </c>
      <c r="C1479" t="s">
        <v>61</v>
      </c>
      <c r="D1479" t="s">
        <v>33</v>
      </c>
      <c r="E1479" t="s">
        <v>34</v>
      </c>
      <c r="F1479" t="str">
        <f>"0001792"</f>
        <v>0001792</v>
      </c>
      <c r="G1479">
        <v>1</v>
      </c>
      <c r="H1479" t="str">
        <f>"00000000"</f>
        <v>00000000</v>
      </c>
      <c r="I1479" t="s">
        <v>35</v>
      </c>
      <c r="J1479"/>
      <c r="K1479">
        <v>11.44</v>
      </c>
      <c r="L1479">
        <v>0.0</v>
      </c>
      <c r="M1479"/>
      <c r="N1479"/>
      <c r="O1479">
        <v>2.06</v>
      </c>
      <c r="P1479">
        <v>0.0</v>
      </c>
      <c r="Q1479">
        <v>13.5</v>
      </c>
      <c r="R1479"/>
      <c r="S1479"/>
      <c r="T1479"/>
      <c r="U1479"/>
      <c r="V1479"/>
      <c r="W1479">
        <v>18</v>
      </c>
    </row>
    <row r="1480" spans="1:23">
      <c r="A1480"/>
      <c r="B1480" t="s">
        <v>61</v>
      </c>
      <c r="C1480" t="s">
        <v>61</v>
      </c>
      <c r="D1480" t="s">
        <v>33</v>
      </c>
      <c r="E1480" t="s">
        <v>34</v>
      </c>
      <c r="F1480" t="str">
        <f>"0001793"</f>
        <v>0001793</v>
      </c>
      <c r="G1480">
        <v>1</v>
      </c>
      <c r="H1480" t="str">
        <f>"00000000"</f>
        <v>00000000</v>
      </c>
      <c r="I1480" t="s">
        <v>35</v>
      </c>
      <c r="J1480"/>
      <c r="K1480">
        <v>44.75</v>
      </c>
      <c r="L1480">
        <v>0.0</v>
      </c>
      <c r="M1480"/>
      <c r="N1480"/>
      <c r="O1480">
        <v>8.05</v>
      </c>
      <c r="P1480">
        <v>0.2</v>
      </c>
      <c r="Q1480">
        <v>53.0</v>
      </c>
      <c r="R1480"/>
      <c r="S1480"/>
      <c r="T1480"/>
      <c r="U1480"/>
      <c r="V1480"/>
      <c r="W1480">
        <v>18</v>
      </c>
    </row>
    <row r="1481" spans="1:23">
      <c r="A1481"/>
      <c r="B1481" t="s">
        <v>61</v>
      </c>
      <c r="C1481" t="s">
        <v>61</v>
      </c>
      <c r="D1481" t="s">
        <v>33</v>
      </c>
      <c r="E1481" t="s">
        <v>34</v>
      </c>
      <c r="F1481" t="str">
        <f>"0001794"</f>
        <v>0001794</v>
      </c>
      <c r="G1481">
        <v>1</v>
      </c>
      <c r="H1481" t="str">
        <f>"00000000"</f>
        <v>00000000</v>
      </c>
      <c r="I1481" t="s">
        <v>35</v>
      </c>
      <c r="J1481"/>
      <c r="K1481">
        <v>2.4</v>
      </c>
      <c r="L1481">
        <v>0.0</v>
      </c>
      <c r="M1481"/>
      <c r="N1481"/>
      <c r="O1481">
        <v>0.43</v>
      </c>
      <c r="P1481">
        <v>0.2</v>
      </c>
      <c r="Q1481">
        <v>3.03</v>
      </c>
      <c r="R1481"/>
      <c r="S1481"/>
      <c r="T1481"/>
      <c r="U1481"/>
      <c r="V1481"/>
      <c r="W1481">
        <v>18</v>
      </c>
    </row>
    <row r="1482" spans="1:23">
      <c r="A1482"/>
      <c r="B1482" t="s">
        <v>61</v>
      </c>
      <c r="C1482" t="s">
        <v>61</v>
      </c>
      <c r="D1482" t="s">
        <v>33</v>
      </c>
      <c r="E1482" t="s">
        <v>34</v>
      </c>
      <c r="F1482" t="str">
        <f>"0001795"</f>
        <v>0001795</v>
      </c>
      <c r="G1482">
        <v>1</v>
      </c>
      <c r="H1482" t="str">
        <f>"00000000"</f>
        <v>00000000</v>
      </c>
      <c r="I1482" t="s">
        <v>35</v>
      </c>
      <c r="J1482"/>
      <c r="K1482">
        <v>11.95</v>
      </c>
      <c r="L1482">
        <v>0.0</v>
      </c>
      <c r="M1482"/>
      <c r="N1482"/>
      <c r="O1482">
        <v>2.15</v>
      </c>
      <c r="P1482">
        <v>0.2</v>
      </c>
      <c r="Q1482">
        <v>14.3</v>
      </c>
      <c r="R1482"/>
      <c r="S1482"/>
      <c r="T1482"/>
      <c r="U1482"/>
      <c r="V1482"/>
      <c r="W1482">
        <v>18</v>
      </c>
    </row>
    <row r="1483" spans="1:23">
      <c r="A1483"/>
      <c r="B1483" t="s">
        <v>61</v>
      </c>
      <c r="C1483" t="s">
        <v>61</v>
      </c>
      <c r="D1483" t="s">
        <v>33</v>
      </c>
      <c r="E1483" t="s">
        <v>34</v>
      </c>
      <c r="F1483" t="str">
        <f>"0001796"</f>
        <v>0001796</v>
      </c>
      <c r="G1483">
        <v>1</v>
      </c>
      <c r="H1483" t="str">
        <f>"00000000"</f>
        <v>00000000</v>
      </c>
      <c r="I1483" t="s">
        <v>35</v>
      </c>
      <c r="J1483"/>
      <c r="K1483">
        <v>19.28</v>
      </c>
      <c r="L1483">
        <v>0.0</v>
      </c>
      <c r="M1483"/>
      <c r="N1483"/>
      <c r="O1483">
        <v>3.47</v>
      </c>
      <c r="P1483">
        <v>0.2</v>
      </c>
      <c r="Q1483">
        <v>22.95</v>
      </c>
      <c r="R1483"/>
      <c r="S1483"/>
      <c r="T1483"/>
      <c r="U1483"/>
      <c r="V1483"/>
      <c r="W1483">
        <v>18</v>
      </c>
    </row>
    <row r="1484" spans="1:23">
      <c r="A1484"/>
      <c r="B1484" t="s">
        <v>61</v>
      </c>
      <c r="C1484" t="s">
        <v>61</v>
      </c>
      <c r="D1484" t="s">
        <v>33</v>
      </c>
      <c r="E1484" t="s">
        <v>34</v>
      </c>
      <c r="F1484" t="str">
        <f>"0001797"</f>
        <v>0001797</v>
      </c>
      <c r="G1484">
        <v>1</v>
      </c>
      <c r="H1484" t="str">
        <f>"00000000"</f>
        <v>00000000</v>
      </c>
      <c r="I1484" t="s">
        <v>35</v>
      </c>
      <c r="J1484"/>
      <c r="K1484">
        <v>3.81</v>
      </c>
      <c r="L1484">
        <v>0.0</v>
      </c>
      <c r="M1484"/>
      <c r="N1484"/>
      <c r="O1484">
        <v>0.69</v>
      </c>
      <c r="P1484">
        <v>0.0</v>
      </c>
      <c r="Q1484">
        <v>4.5</v>
      </c>
      <c r="R1484"/>
      <c r="S1484"/>
      <c r="T1484"/>
      <c r="U1484"/>
      <c r="V1484"/>
      <c r="W1484">
        <v>18</v>
      </c>
    </row>
    <row r="1485" spans="1:23">
      <c r="A1485"/>
      <c r="B1485" t="s">
        <v>61</v>
      </c>
      <c r="C1485" t="s">
        <v>61</v>
      </c>
      <c r="D1485" t="s">
        <v>33</v>
      </c>
      <c r="E1485" t="s">
        <v>34</v>
      </c>
      <c r="F1485" t="str">
        <f>"0001798"</f>
        <v>0001798</v>
      </c>
      <c r="G1485">
        <v>1</v>
      </c>
      <c r="H1485" t="str">
        <f>"00000000"</f>
        <v>00000000</v>
      </c>
      <c r="I1485" t="s">
        <v>35</v>
      </c>
      <c r="J1485"/>
      <c r="K1485">
        <v>51.16</v>
      </c>
      <c r="L1485">
        <v>0.0</v>
      </c>
      <c r="M1485"/>
      <c r="N1485"/>
      <c r="O1485">
        <v>9.21</v>
      </c>
      <c r="P1485">
        <v>0.2</v>
      </c>
      <c r="Q1485">
        <v>60.57</v>
      </c>
      <c r="R1485"/>
      <c r="S1485"/>
      <c r="T1485"/>
      <c r="U1485"/>
      <c r="V1485"/>
      <c r="W1485">
        <v>18</v>
      </c>
    </row>
    <row r="1486" spans="1:23">
      <c r="A1486"/>
      <c r="B1486" t="s">
        <v>62</v>
      </c>
      <c r="C1486" t="s">
        <v>62</v>
      </c>
      <c r="D1486" t="s">
        <v>33</v>
      </c>
      <c r="E1486" t="s">
        <v>34</v>
      </c>
      <c r="F1486" t="str">
        <f>"0001799"</f>
        <v>0001799</v>
      </c>
      <c r="G1486">
        <v>1</v>
      </c>
      <c r="H1486" t="str">
        <f>"00000000"</f>
        <v>00000000</v>
      </c>
      <c r="I1486" t="s">
        <v>35</v>
      </c>
      <c r="J1486"/>
      <c r="K1486">
        <v>2.97</v>
      </c>
      <c r="L1486">
        <v>0.0</v>
      </c>
      <c r="M1486"/>
      <c r="N1486"/>
      <c r="O1486">
        <v>0.53</v>
      </c>
      <c r="P1486">
        <v>0.0</v>
      </c>
      <c r="Q1486">
        <v>3.5</v>
      </c>
      <c r="R1486"/>
      <c r="S1486"/>
      <c r="T1486"/>
      <c r="U1486"/>
      <c r="V1486"/>
      <c r="W1486">
        <v>18</v>
      </c>
    </row>
    <row r="1487" spans="1:23">
      <c r="A1487"/>
      <c r="B1487" t="s">
        <v>62</v>
      </c>
      <c r="C1487" t="s">
        <v>62</v>
      </c>
      <c r="D1487" t="s">
        <v>33</v>
      </c>
      <c r="E1487" t="s">
        <v>34</v>
      </c>
      <c r="F1487" t="str">
        <f>"0001800"</f>
        <v>0001800</v>
      </c>
      <c r="G1487">
        <v>1</v>
      </c>
      <c r="H1487" t="str">
        <f>"00000000"</f>
        <v>00000000</v>
      </c>
      <c r="I1487" t="s">
        <v>35</v>
      </c>
      <c r="J1487"/>
      <c r="K1487">
        <v>24.28</v>
      </c>
      <c r="L1487">
        <v>0.0</v>
      </c>
      <c r="M1487"/>
      <c r="N1487"/>
      <c r="O1487">
        <v>4.37</v>
      </c>
      <c r="P1487">
        <v>0.2</v>
      </c>
      <c r="Q1487">
        <v>28.85</v>
      </c>
      <c r="R1487"/>
      <c r="S1487"/>
      <c r="T1487"/>
      <c r="U1487"/>
      <c r="V1487"/>
      <c r="W1487">
        <v>18</v>
      </c>
    </row>
    <row r="1488" spans="1:23">
      <c r="A1488"/>
      <c r="B1488" t="s">
        <v>62</v>
      </c>
      <c r="C1488" t="s">
        <v>62</v>
      </c>
      <c r="D1488" t="s">
        <v>33</v>
      </c>
      <c r="E1488" t="s">
        <v>34</v>
      </c>
      <c r="F1488" t="str">
        <f>"0001801"</f>
        <v>0001801</v>
      </c>
      <c r="G1488">
        <v>1</v>
      </c>
      <c r="H1488" t="str">
        <f>"00000000"</f>
        <v>00000000</v>
      </c>
      <c r="I1488" t="s">
        <v>35</v>
      </c>
      <c r="J1488"/>
      <c r="K1488">
        <v>13.44</v>
      </c>
      <c r="L1488">
        <v>0.0</v>
      </c>
      <c r="M1488"/>
      <c r="N1488"/>
      <c r="O1488">
        <v>2.42</v>
      </c>
      <c r="P1488">
        <v>0.0</v>
      </c>
      <c r="Q1488">
        <v>15.86</v>
      </c>
      <c r="R1488"/>
      <c r="S1488"/>
      <c r="T1488"/>
      <c r="U1488"/>
      <c r="V1488"/>
      <c r="W1488">
        <v>18</v>
      </c>
    </row>
    <row r="1489" spans="1:23">
      <c r="A1489"/>
      <c r="B1489" t="s">
        <v>62</v>
      </c>
      <c r="C1489" t="s">
        <v>62</v>
      </c>
      <c r="D1489" t="s">
        <v>33</v>
      </c>
      <c r="E1489" t="s">
        <v>34</v>
      </c>
      <c r="F1489" t="str">
        <f>"0001802"</f>
        <v>0001802</v>
      </c>
      <c r="G1489">
        <v>1</v>
      </c>
      <c r="H1489" t="str">
        <f>"00000000"</f>
        <v>00000000</v>
      </c>
      <c r="I1489" t="s">
        <v>35</v>
      </c>
      <c r="J1489"/>
      <c r="K1489">
        <v>1.69</v>
      </c>
      <c r="L1489">
        <v>0.0</v>
      </c>
      <c r="M1489"/>
      <c r="N1489"/>
      <c r="O1489">
        <v>0.3</v>
      </c>
      <c r="P1489">
        <v>0.0</v>
      </c>
      <c r="Q1489">
        <v>1.99</v>
      </c>
      <c r="R1489"/>
      <c r="S1489"/>
      <c r="T1489"/>
      <c r="U1489"/>
      <c r="V1489"/>
      <c r="W1489">
        <v>18</v>
      </c>
    </row>
    <row r="1490" spans="1:23">
      <c r="A1490"/>
      <c r="B1490" t="s">
        <v>62</v>
      </c>
      <c r="C1490" t="s">
        <v>62</v>
      </c>
      <c r="D1490" t="s">
        <v>33</v>
      </c>
      <c r="E1490" t="s">
        <v>34</v>
      </c>
      <c r="F1490" t="str">
        <f>"0001803"</f>
        <v>0001803</v>
      </c>
      <c r="G1490">
        <v>1</v>
      </c>
      <c r="H1490" t="str">
        <f>"00000000"</f>
        <v>00000000</v>
      </c>
      <c r="I1490" t="s">
        <v>35</v>
      </c>
      <c r="J1490"/>
      <c r="K1490">
        <v>15.25</v>
      </c>
      <c r="L1490">
        <v>0.0</v>
      </c>
      <c r="M1490"/>
      <c r="N1490"/>
      <c r="O1490">
        <v>2.75</v>
      </c>
      <c r="P1490">
        <v>0.0</v>
      </c>
      <c r="Q1490">
        <v>18.0</v>
      </c>
      <c r="R1490"/>
      <c r="S1490"/>
      <c r="T1490"/>
      <c r="U1490"/>
      <c r="V1490"/>
      <c r="W1490">
        <v>18</v>
      </c>
    </row>
    <row r="1491" spans="1:23">
      <c r="A1491"/>
      <c r="B1491" t="s">
        <v>62</v>
      </c>
      <c r="C1491" t="s">
        <v>62</v>
      </c>
      <c r="D1491" t="s">
        <v>33</v>
      </c>
      <c r="E1491" t="s">
        <v>34</v>
      </c>
      <c r="F1491" t="str">
        <f>"0001804"</f>
        <v>0001804</v>
      </c>
      <c r="G1491">
        <v>1</v>
      </c>
      <c r="H1491" t="str">
        <f>"00000000"</f>
        <v>00000000</v>
      </c>
      <c r="I1491" t="s">
        <v>35</v>
      </c>
      <c r="J1491"/>
      <c r="K1491">
        <v>5.07</v>
      </c>
      <c r="L1491">
        <v>0.0</v>
      </c>
      <c r="M1491"/>
      <c r="N1491"/>
      <c r="O1491">
        <v>0.91</v>
      </c>
      <c r="P1491">
        <v>0.0</v>
      </c>
      <c r="Q1491">
        <v>5.98</v>
      </c>
      <c r="R1491"/>
      <c r="S1491"/>
      <c r="T1491"/>
      <c r="U1491"/>
      <c r="V1491"/>
      <c r="W1491">
        <v>18</v>
      </c>
    </row>
    <row r="1492" spans="1:23">
      <c r="A1492"/>
      <c r="B1492" t="s">
        <v>62</v>
      </c>
      <c r="C1492" t="s">
        <v>62</v>
      </c>
      <c r="D1492" t="s">
        <v>33</v>
      </c>
      <c r="E1492" t="s">
        <v>34</v>
      </c>
      <c r="F1492" t="str">
        <f>"0001805"</f>
        <v>0001805</v>
      </c>
      <c r="G1492">
        <v>1</v>
      </c>
      <c r="H1492" t="str">
        <f>"00000000"</f>
        <v>00000000</v>
      </c>
      <c r="I1492" t="s">
        <v>35</v>
      </c>
      <c r="J1492"/>
      <c r="K1492">
        <v>2.27</v>
      </c>
      <c r="L1492">
        <v>0.0</v>
      </c>
      <c r="M1492"/>
      <c r="N1492"/>
      <c r="O1492">
        <v>0.41</v>
      </c>
      <c r="P1492">
        <v>0.0</v>
      </c>
      <c r="Q1492">
        <v>2.68</v>
      </c>
      <c r="R1492"/>
      <c r="S1492"/>
      <c r="T1492"/>
      <c r="U1492"/>
      <c r="V1492"/>
      <c r="W1492">
        <v>18</v>
      </c>
    </row>
    <row r="1493" spans="1:23">
      <c r="A1493"/>
      <c r="B1493" t="s">
        <v>62</v>
      </c>
      <c r="C1493" t="s">
        <v>62</v>
      </c>
      <c r="D1493" t="s">
        <v>33</v>
      </c>
      <c r="E1493" t="s">
        <v>34</v>
      </c>
      <c r="F1493" t="str">
        <f>"0001806"</f>
        <v>0001806</v>
      </c>
      <c r="G1493">
        <v>1</v>
      </c>
      <c r="H1493" t="str">
        <f>"00000000"</f>
        <v>00000000</v>
      </c>
      <c r="I1493" t="s">
        <v>35</v>
      </c>
      <c r="J1493"/>
      <c r="K1493">
        <v>16.95</v>
      </c>
      <c r="L1493">
        <v>0.0</v>
      </c>
      <c r="M1493"/>
      <c r="N1493"/>
      <c r="O1493">
        <v>3.05</v>
      </c>
      <c r="P1493">
        <v>0.0</v>
      </c>
      <c r="Q1493">
        <v>20.0</v>
      </c>
      <c r="R1493"/>
      <c r="S1493"/>
      <c r="T1493"/>
      <c r="U1493"/>
      <c r="V1493"/>
      <c r="W1493">
        <v>18</v>
      </c>
    </row>
    <row r="1494" spans="1:23">
      <c r="A1494"/>
      <c r="B1494" t="s">
        <v>62</v>
      </c>
      <c r="C1494" t="s">
        <v>62</v>
      </c>
      <c r="D1494" t="s">
        <v>33</v>
      </c>
      <c r="E1494" t="s">
        <v>34</v>
      </c>
      <c r="F1494" t="str">
        <f>"0001807"</f>
        <v>0001807</v>
      </c>
      <c r="G1494">
        <v>1</v>
      </c>
      <c r="H1494" t="str">
        <f>"00000000"</f>
        <v>00000000</v>
      </c>
      <c r="I1494" t="s">
        <v>35</v>
      </c>
      <c r="J1494"/>
      <c r="K1494">
        <v>21.01</v>
      </c>
      <c r="L1494">
        <v>0.0</v>
      </c>
      <c r="M1494"/>
      <c r="N1494"/>
      <c r="O1494">
        <v>3.78</v>
      </c>
      <c r="P1494">
        <v>0.0</v>
      </c>
      <c r="Q1494">
        <v>24.79</v>
      </c>
      <c r="R1494"/>
      <c r="S1494"/>
      <c r="T1494"/>
      <c r="U1494"/>
      <c r="V1494"/>
      <c r="W1494">
        <v>18</v>
      </c>
    </row>
    <row r="1495" spans="1:23">
      <c r="A1495"/>
      <c r="B1495" t="s">
        <v>62</v>
      </c>
      <c r="C1495" t="s">
        <v>62</v>
      </c>
      <c r="D1495" t="s">
        <v>33</v>
      </c>
      <c r="E1495" t="s">
        <v>34</v>
      </c>
      <c r="F1495" t="str">
        <f>"0001808"</f>
        <v>0001808</v>
      </c>
      <c r="G1495">
        <v>1</v>
      </c>
      <c r="H1495" t="str">
        <f>"00000000"</f>
        <v>00000000</v>
      </c>
      <c r="I1495" t="s">
        <v>35</v>
      </c>
      <c r="J1495"/>
      <c r="K1495">
        <v>4.75</v>
      </c>
      <c r="L1495">
        <v>0.0</v>
      </c>
      <c r="M1495"/>
      <c r="N1495"/>
      <c r="O1495">
        <v>0.85</v>
      </c>
      <c r="P1495">
        <v>0.0</v>
      </c>
      <c r="Q1495">
        <v>5.6</v>
      </c>
      <c r="R1495"/>
      <c r="S1495"/>
      <c r="T1495"/>
      <c r="U1495"/>
      <c r="V1495"/>
      <c r="W1495">
        <v>18</v>
      </c>
    </row>
    <row r="1496" spans="1:23">
      <c r="A1496"/>
      <c r="B1496" t="s">
        <v>62</v>
      </c>
      <c r="C1496" t="s">
        <v>62</v>
      </c>
      <c r="D1496" t="s">
        <v>33</v>
      </c>
      <c r="E1496" t="s">
        <v>34</v>
      </c>
      <c r="F1496" t="str">
        <f>"0001809"</f>
        <v>0001809</v>
      </c>
      <c r="G1496">
        <v>1</v>
      </c>
      <c r="H1496" t="str">
        <f>"00000000"</f>
        <v>00000000</v>
      </c>
      <c r="I1496" t="s">
        <v>35</v>
      </c>
      <c r="J1496"/>
      <c r="K1496">
        <v>14.31</v>
      </c>
      <c r="L1496">
        <v>0.0</v>
      </c>
      <c r="M1496"/>
      <c r="N1496"/>
      <c r="O1496">
        <v>2.58</v>
      </c>
      <c r="P1496">
        <v>0.2</v>
      </c>
      <c r="Q1496">
        <v>17.09</v>
      </c>
      <c r="R1496"/>
      <c r="S1496"/>
      <c r="T1496"/>
      <c r="U1496"/>
      <c r="V1496"/>
      <c r="W1496">
        <v>18</v>
      </c>
    </row>
    <row r="1497" spans="1:23">
      <c r="A1497"/>
      <c r="B1497" t="s">
        <v>62</v>
      </c>
      <c r="C1497" t="s">
        <v>62</v>
      </c>
      <c r="D1497" t="s">
        <v>33</v>
      </c>
      <c r="E1497" t="s">
        <v>34</v>
      </c>
      <c r="F1497" t="str">
        <f>"0001810"</f>
        <v>0001810</v>
      </c>
      <c r="G1497">
        <v>1</v>
      </c>
      <c r="H1497" t="str">
        <f>"00000000"</f>
        <v>00000000</v>
      </c>
      <c r="I1497" t="s">
        <v>35</v>
      </c>
      <c r="J1497"/>
      <c r="K1497">
        <v>2.82</v>
      </c>
      <c r="L1497">
        <v>0.0</v>
      </c>
      <c r="M1497"/>
      <c r="N1497"/>
      <c r="O1497">
        <v>0.51</v>
      </c>
      <c r="P1497">
        <v>0.0</v>
      </c>
      <c r="Q1497">
        <v>3.33</v>
      </c>
      <c r="R1497"/>
      <c r="S1497"/>
      <c r="T1497"/>
      <c r="U1497"/>
      <c r="V1497"/>
      <c r="W1497">
        <v>18</v>
      </c>
    </row>
    <row r="1498" spans="1:23">
      <c r="A1498"/>
      <c r="B1498" t="s">
        <v>62</v>
      </c>
      <c r="C1498" t="s">
        <v>62</v>
      </c>
      <c r="D1498" t="s">
        <v>33</v>
      </c>
      <c r="E1498" t="s">
        <v>34</v>
      </c>
      <c r="F1498" t="str">
        <f>"0001811"</f>
        <v>0001811</v>
      </c>
      <c r="G1498">
        <v>1</v>
      </c>
      <c r="H1498" t="str">
        <f>"00000000"</f>
        <v>00000000</v>
      </c>
      <c r="I1498" t="s">
        <v>35</v>
      </c>
      <c r="J1498"/>
      <c r="K1498">
        <v>4.99</v>
      </c>
      <c r="L1498">
        <v>0.0</v>
      </c>
      <c r="M1498"/>
      <c r="N1498"/>
      <c r="O1498">
        <v>0.9</v>
      </c>
      <c r="P1498">
        <v>0.0</v>
      </c>
      <c r="Q1498">
        <v>5.89</v>
      </c>
      <c r="R1498"/>
      <c r="S1498"/>
      <c r="T1498"/>
      <c r="U1498"/>
      <c r="V1498"/>
      <c r="W1498">
        <v>18</v>
      </c>
    </row>
    <row r="1499" spans="1:23">
      <c r="A1499"/>
      <c r="B1499" t="s">
        <v>62</v>
      </c>
      <c r="C1499" t="s">
        <v>62</v>
      </c>
      <c r="D1499" t="s">
        <v>33</v>
      </c>
      <c r="E1499" t="s">
        <v>34</v>
      </c>
      <c r="F1499" t="str">
        <f>"0001812"</f>
        <v>0001812</v>
      </c>
      <c r="G1499">
        <v>1</v>
      </c>
      <c r="H1499" t="str">
        <f>"00000000"</f>
        <v>00000000</v>
      </c>
      <c r="I1499" t="s">
        <v>35</v>
      </c>
      <c r="J1499"/>
      <c r="K1499">
        <v>1.02</v>
      </c>
      <c r="L1499">
        <v>0.0</v>
      </c>
      <c r="M1499"/>
      <c r="N1499"/>
      <c r="O1499">
        <v>0.18</v>
      </c>
      <c r="P1499">
        <v>0.0</v>
      </c>
      <c r="Q1499">
        <v>1.2</v>
      </c>
      <c r="R1499"/>
      <c r="S1499"/>
      <c r="T1499"/>
      <c r="U1499"/>
      <c r="V1499"/>
      <c r="W1499">
        <v>18</v>
      </c>
    </row>
    <row r="1500" spans="1:23">
      <c r="A1500"/>
      <c r="B1500" t="s">
        <v>62</v>
      </c>
      <c r="C1500" t="s">
        <v>62</v>
      </c>
      <c r="D1500" t="s">
        <v>33</v>
      </c>
      <c r="E1500" t="s">
        <v>34</v>
      </c>
      <c r="F1500" t="str">
        <f>"0001813"</f>
        <v>0001813</v>
      </c>
      <c r="G1500">
        <v>1</v>
      </c>
      <c r="H1500" t="str">
        <f>"00000000"</f>
        <v>00000000</v>
      </c>
      <c r="I1500" t="s">
        <v>35</v>
      </c>
      <c r="J1500"/>
      <c r="K1500">
        <v>1.47</v>
      </c>
      <c r="L1500">
        <v>0.0</v>
      </c>
      <c r="M1500"/>
      <c r="N1500"/>
      <c r="O1500">
        <v>0.27</v>
      </c>
      <c r="P1500">
        <v>0.0</v>
      </c>
      <c r="Q1500">
        <v>1.74</v>
      </c>
      <c r="R1500"/>
      <c r="S1500"/>
      <c r="T1500"/>
      <c r="U1500"/>
      <c r="V1500"/>
      <c r="W1500">
        <v>18</v>
      </c>
    </row>
    <row r="1501" spans="1:23">
      <c r="A1501"/>
      <c r="B1501" t="s">
        <v>62</v>
      </c>
      <c r="C1501" t="s">
        <v>62</v>
      </c>
      <c r="D1501" t="s">
        <v>33</v>
      </c>
      <c r="E1501" t="s">
        <v>34</v>
      </c>
      <c r="F1501" t="str">
        <f>"0001814"</f>
        <v>0001814</v>
      </c>
      <c r="G1501">
        <v>1</v>
      </c>
      <c r="H1501" t="str">
        <f>"00000000"</f>
        <v>00000000</v>
      </c>
      <c r="I1501" t="s">
        <v>35</v>
      </c>
      <c r="J1501"/>
      <c r="K1501">
        <v>1.71</v>
      </c>
      <c r="L1501">
        <v>0.0</v>
      </c>
      <c r="M1501"/>
      <c r="N1501"/>
      <c r="O1501">
        <v>0.31</v>
      </c>
      <c r="P1501">
        <v>0.0</v>
      </c>
      <c r="Q1501">
        <v>2.02</v>
      </c>
      <c r="R1501"/>
      <c r="S1501"/>
      <c r="T1501"/>
      <c r="U1501"/>
      <c r="V1501"/>
      <c r="W1501">
        <v>18</v>
      </c>
    </row>
    <row r="1502" spans="1:23">
      <c r="A1502"/>
      <c r="B1502" t="s">
        <v>62</v>
      </c>
      <c r="C1502" t="s">
        <v>62</v>
      </c>
      <c r="D1502" t="s">
        <v>33</v>
      </c>
      <c r="E1502" t="s">
        <v>34</v>
      </c>
      <c r="F1502" t="str">
        <f>"0001815"</f>
        <v>0001815</v>
      </c>
      <c r="G1502">
        <v>1</v>
      </c>
      <c r="H1502" t="str">
        <f>"00000000"</f>
        <v>00000000</v>
      </c>
      <c r="I1502" t="s">
        <v>35</v>
      </c>
      <c r="J1502"/>
      <c r="K1502">
        <v>10.17</v>
      </c>
      <c r="L1502">
        <v>0.0</v>
      </c>
      <c r="M1502"/>
      <c r="N1502"/>
      <c r="O1502">
        <v>1.83</v>
      </c>
      <c r="P1502">
        <v>0.0</v>
      </c>
      <c r="Q1502">
        <v>12.0</v>
      </c>
      <c r="R1502"/>
      <c r="S1502"/>
      <c r="T1502"/>
      <c r="U1502"/>
      <c r="V1502"/>
      <c r="W1502">
        <v>18</v>
      </c>
    </row>
    <row r="1503" spans="1:23">
      <c r="A1503"/>
      <c r="B1503" t="s">
        <v>62</v>
      </c>
      <c r="C1503" t="s">
        <v>62</v>
      </c>
      <c r="D1503" t="s">
        <v>33</v>
      </c>
      <c r="E1503" t="s">
        <v>34</v>
      </c>
      <c r="F1503" t="str">
        <f>"0001816"</f>
        <v>0001816</v>
      </c>
      <c r="G1503">
        <v>1</v>
      </c>
      <c r="H1503" t="str">
        <f>"00000000"</f>
        <v>00000000</v>
      </c>
      <c r="I1503" t="s">
        <v>35</v>
      </c>
      <c r="J1503"/>
      <c r="K1503">
        <v>6.61</v>
      </c>
      <c r="L1503">
        <v>0.0</v>
      </c>
      <c r="M1503"/>
      <c r="N1503"/>
      <c r="O1503">
        <v>1.19</v>
      </c>
      <c r="P1503">
        <v>0.0</v>
      </c>
      <c r="Q1503">
        <v>7.8</v>
      </c>
      <c r="R1503"/>
      <c r="S1503"/>
      <c r="T1503"/>
      <c r="U1503"/>
      <c r="V1503"/>
      <c r="W1503">
        <v>18</v>
      </c>
    </row>
    <row r="1504" spans="1:23">
      <c r="A1504"/>
      <c r="B1504" t="s">
        <v>62</v>
      </c>
      <c r="C1504" t="s">
        <v>62</v>
      </c>
      <c r="D1504" t="s">
        <v>33</v>
      </c>
      <c r="E1504" t="s">
        <v>34</v>
      </c>
      <c r="F1504" t="str">
        <f>"0001817"</f>
        <v>0001817</v>
      </c>
      <c r="G1504">
        <v>1</v>
      </c>
      <c r="H1504" t="str">
        <f>"00000000"</f>
        <v>00000000</v>
      </c>
      <c r="I1504" t="s">
        <v>35</v>
      </c>
      <c r="J1504"/>
      <c r="K1504">
        <v>0.08</v>
      </c>
      <c r="L1504">
        <v>0.0</v>
      </c>
      <c r="M1504"/>
      <c r="N1504"/>
      <c r="O1504">
        <v>0.02</v>
      </c>
      <c r="P1504">
        <v>0.2</v>
      </c>
      <c r="Q1504">
        <v>0.3</v>
      </c>
      <c r="R1504"/>
      <c r="S1504"/>
      <c r="T1504"/>
      <c r="U1504"/>
      <c r="V1504"/>
      <c r="W1504">
        <v>18</v>
      </c>
    </row>
    <row r="1505" spans="1:23">
      <c r="A1505"/>
      <c r="B1505" t="s">
        <v>62</v>
      </c>
      <c r="C1505" t="s">
        <v>62</v>
      </c>
      <c r="D1505" t="s">
        <v>33</v>
      </c>
      <c r="E1505" t="s">
        <v>34</v>
      </c>
      <c r="F1505" t="str">
        <f>"0001818"</f>
        <v>0001818</v>
      </c>
      <c r="G1505">
        <v>1</v>
      </c>
      <c r="H1505" t="str">
        <f>"00000000"</f>
        <v>00000000</v>
      </c>
      <c r="I1505" t="s">
        <v>35</v>
      </c>
      <c r="J1505"/>
      <c r="K1505">
        <v>1.69</v>
      </c>
      <c r="L1505">
        <v>0.0</v>
      </c>
      <c r="M1505"/>
      <c r="N1505"/>
      <c r="O1505">
        <v>0.3</v>
      </c>
      <c r="P1505">
        <v>0.0</v>
      </c>
      <c r="Q1505">
        <v>2.0</v>
      </c>
      <c r="R1505"/>
      <c r="S1505"/>
      <c r="T1505"/>
      <c r="U1505"/>
      <c r="V1505"/>
      <c r="W1505">
        <v>18</v>
      </c>
    </row>
    <row r="1506" spans="1:23">
      <c r="A1506"/>
      <c r="B1506" t="s">
        <v>62</v>
      </c>
      <c r="C1506" t="s">
        <v>62</v>
      </c>
      <c r="D1506" t="s">
        <v>33</v>
      </c>
      <c r="E1506" t="s">
        <v>34</v>
      </c>
      <c r="F1506" t="str">
        <f>"0001819"</f>
        <v>0001819</v>
      </c>
      <c r="G1506">
        <v>1</v>
      </c>
      <c r="H1506" t="str">
        <f>"00000000"</f>
        <v>00000000</v>
      </c>
      <c r="I1506" t="s">
        <v>35</v>
      </c>
      <c r="J1506"/>
      <c r="K1506">
        <v>37.07</v>
      </c>
      <c r="L1506">
        <v>0.0</v>
      </c>
      <c r="M1506"/>
      <c r="N1506"/>
      <c r="O1506">
        <v>6.67</v>
      </c>
      <c r="P1506">
        <v>0.0</v>
      </c>
      <c r="Q1506">
        <v>43.75</v>
      </c>
      <c r="R1506"/>
      <c r="S1506"/>
      <c r="T1506"/>
      <c r="U1506"/>
      <c r="V1506"/>
      <c r="W1506">
        <v>18</v>
      </c>
    </row>
    <row r="1507" spans="1:23">
      <c r="A1507"/>
      <c r="B1507" t="s">
        <v>62</v>
      </c>
      <c r="C1507" t="s">
        <v>62</v>
      </c>
      <c r="D1507" t="s">
        <v>33</v>
      </c>
      <c r="E1507" t="s">
        <v>34</v>
      </c>
      <c r="F1507" t="str">
        <f>"0001820"</f>
        <v>0001820</v>
      </c>
      <c r="G1507">
        <v>1</v>
      </c>
      <c r="H1507" t="str">
        <f>"00000000"</f>
        <v>00000000</v>
      </c>
      <c r="I1507" t="s">
        <v>35</v>
      </c>
      <c r="J1507"/>
      <c r="K1507">
        <v>20.34</v>
      </c>
      <c r="L1507">
        <v>0.0</v>
      </c>
      <c r="M1507"/>
      <c r="N1507"/>
      <c r="O1507">
        <v>3.66</v>
      </c>
      <c r="P1507">
        <v>0.0</v>
      </c>
      <c r="Q1507">
        <v>24.0</v>
      </c>
      <c r="R1507"/>
      <c r="S1507"/>
      <c r="T1507"/>
      <c r="U1507"/>
      <c r="V1507"/>
      <c r="W1507">
        <v>18</v>
      </c>
    </row>
    <row r="1508" spans="1:23">
      <c r="A1508"/>
      <c r="B1508" t="s">
        <v>62</v>
      </c>
      <c r="C1508" t="s">
        <v>62</v>
      </c>
      <c r="D1508" t="s">
        <v>33</v>
      </c>
      <c r="E1508" t="s">
        <v>34</v>
      </c>
      <c r="F1508" t="str">
        <f>"0001821"</f>
        <v>0001821</v>
      </c>
      <c r="G1508">
        <v>1</v>
      </c>
      <c r="H1508" t="str">
        <f>"00000000"</f>
        <v>00000000</v>
      </c>
      <c r="I1508" t="s">
        <v>35</v>
      </c>
      <c r="J1508"/>
      <c r="K1508">
        <v>0.85</v>
      </c>
      <c r="L1508">
        <v>0.0</v>
      </c>
      <c r="M1508"/>
      <c r="N1508"/>
      <c r="O1508">
        <v>0.15</v>
      </c>
      <c r="P1508">
        <v>0.0</v>
      </c>
      <c r="Q1508">
        <v>1.0</v>
      </c>
      <c r="R1508"/>
      <c r="S1508"/>
      <c r="T1508"/>
      <c r="U1508"/>
      <c r="V1508"/>
      <c r="W1508">
        <v>18</v>
      </c>
    </row>
    <row r="1509" spans="1:23">
      <c r="A1509"/>
      <c r="B1509" t="s">
        <v>62</v>
      </c>
      <c r="C1509" t="s">
        <v>62</v>
      </c>
      <c r="D1509" t="s">
        <v>33</v>
      </c>
      <c r="E1509" t="s">
        <v>34</v>
      </c>
      <c r="F1509" t="str">
        <f>"0001822"</f>
        <v>0001822</v>
      </c>
      <c r="G1509">
        <v>1</v>
      </c>
      <c r="H1509" t="str">
        <f>"00000000"</f>
        <v>00000000</v>
      </c>
      <c r="I1509" t="s">
        <v>35</v>
      </c>
      <c r="J1509"/>
      <c r="K1509">
        <v>18.38</v>
      </c>
      <c r="L1509">
        <v>0.0</v>
      </c>
      <c r="M1509"/>
      <c r="N1509"/>
      <c r="O1509">
        <v>3.31</v>
      </c>
      <c r="P1509">
        <v>0.2</v>
      </c>
      <c r="Q1509">
        <v>21.89</v>
      </c>
      <c r="R1509"/>
      <c r="S1509"/>
      <c r="T1509"/>
      <c r="U1509"/>
      <c r="V1509"/>
      <c r="W1509">
        <v>18</v>
      </c>
    </row>
    <row r="1510" spans="1:23">
      <c r="A1510"/>
      <c r="B1510" t="s">
        <v>62</v>
      </c>
      <c r="C1510" t="s">
        <v>62</v>
      </c>
      <c r="D1510" t="s">
        <v>33</v>
      </c>
      <c r="E1510" t="s">
        <v>34</v>
      </c>
      <c r="F1510" t="str">
        <f>"0001823"</f>
        <v>0001823</v>
      </c>
      <c r="G1510">
        <v>1</v>
      </c>
      <c r="H1510" t="str">
        <f>"00000000"</f>
        <v>00000000</v>
      </c>
      <c r="I1510" t="s">
        <v>35</v>
      </c>
      <c r="J1510"/>
      <c r="K1510">
        <v>5.28</v>
      </c>
      <c r="L1510">
        <v>0.0</v>
      </c>
      <c r="M1510"/>
      <c r="N1510"/>
      <c r="O1510">
        <v>0.95</v>
      </c>
      <c r="P1510">
        <v>0.2</v>
      </c>
      <c r="Q1510">
        <v>6.43</v>
      </c>
      <c r="R1510"/>
      <c r="S1510"/>
      <c r="T1510"/>
      <c r="U1510"/>
      <c r="V1510"/>
      <c r="W1510">
        <v>18</v>
      </c>
    </row>
    <row r="1511" spans="1:23">
      <c r="A1511"/>
      <c r="B1511" t="s">
        <v>62</v>
      </c>
      <c r="C1511" t="s">
        <v>62</v>
      </c>
      <c r="D1511" t="s">
        <v>33</v>
      </c>
      <c r="E1511" t="s">
        <v>34</v>
      </c>
      <c r="F1511" t="str">
        <f>"0001824"</f>
        <v>0001824</v>
      </c>
      <c r="G1511">
        <v>1</v>
      </c>
      <c r="H1511" t="str">
        <f>"00000000"</f>
        <v>00000000</v>
      </c>
      <c r="I1511" t="s">
        <v>35</v>
      </c>
      <c r="J1511"/>
      <c r="K1511">
        <v>36.49</v>
      </c>
      <c r="L1511">
        <v>0.0</v>
      </c>
      <c r="M1511"/>
      <c r="N1511"/>
      <c r="O1511">
        <v>6.57</v>
      </c>
      <c r="P1511">
        <v>0.2</v>
      </c>
      <c r="Q1511">
        <v>43.25</v>
      </c>
      <c r="R1511"/>
      <c r="S1511"/>
      <c r="T1511"/>
      <c r="U1511"/>
      <c r="V1511"/>
      <c r="W1511">
        <v>18</v>
      </c>
    </row>
    <row r="1512" spans="1:23">
      <c r="A1512"/>
      <c r="B1512" t="s">
        <v>62</v>
      </c>
      <c r="C1512" t="s">
        <v>62</v>
      </c>
      <c r="D1512" t="s">
        <v>33</v>
      </c>
      <c r="E1512" t="s">
        <v>34</v>
      </c>
      <c r="F1512" t="str">
        <f>"0001825"</f>
        <v>0001825</v>
      </c>
      <c r="G1512">
        <v>1</v>
      </c>
      <c r="H1512" t="str">
        <f>"00000000"</f>
        <v>00000000</v>
      </c>
      <c r="I1512" t="s">
        <v>35</v>
      </c>
      <c r="J1512"/>
      <c r="K1512">
        <v>4.74</v>
      </c>
      <c r="L1512">
        <v>0.0</v>
      </c>
      <c r="M1512"/>
      <c r="N1512"/>
      <c r="O1512">
        <v>0.85</v>
      </c>
      <c r="P1512">
        <v>0.0</v>
      </c>
      <c r="Q1512">
        <v>5.59</v>
      </c>
      <c r="R1512"/>
      <c r="S1512"/>
      <c r="T1512"/>
      <c r="U1512"/>
      <c r="V1512"/>
      <c r="W1512">
        <v>18</v>
      </c>
    </row>
    <row r="1513" spans="1:23">
      <c r="A1513"/>
      <c r="B1513" t="s">
        <v>62</v>
      </c>
      <c r="C1513" t="s">
        <v>62</v>
      </c>
      <c r="D1513" t="s">
        <v>33</v>
      </c>
      <c r="E1513" t="s">
        <v>34</v>
      </c>
      <c r="F1513" t="str">
        <f>"0001826"</f>
        <v>0001826</v>
      </c>
      <c r="G1513">
        <v>1</v>
      </c>
      <c r="H1513" t="str">
        <f>"00000000"</f>
        <v>00000000</v>
      </c>
      <c r="I1513" t="s">
        <v>35</v>
      </c>
      <c r="J1513"/>
      <c r="K1513">
        <v>2.12</v>
      </c>
      <c r="L1513">
        <v>0.0</v>
      </c>
      <c r="M1513"/>
      <c r="N1513"/>
      <c r="O1513">
        <v>0.38</v>
      </c>
      <c r="P1513">
        <v>0.0</v>
      </c>
      <c r="Q1513">
        <v>2.5</v>
      </c>
      <c r="R1513"/>
      <c r="S1513"/>
      <c r="T1513"/>
      <c r="U1513"/>
      <c r="V1513"/>
      <c r="W1513">
        <v>18</v>
      </c>
    </row>
    <row r="1514" spans="1:23">
      <c r="A1514"/>
      <c r="B1514" t="s">
        <v>62</v>
      </c>
      <c r="C1514" t="s">
        <v>62</v>
      </c>
      <c r="D1514" t="s">
        <v>33</v>
      </c>
      <c r="E1514" t="s">
        <v>34</v>
      </c>
      <c r="F1514" t="str">
        <f>"0001827"</f>
        <v>0001827</v>
      </c>
      <c r="G1514">
        <v>1</v>
      </c>
      <c r="H1514" t="str">
        <f>"00000000"</f>
        <v>00000000</v>
      </c>
      <c r="I1514" t="s">
        <v>35</v>
      </c>
      <c r="J1514"/>
      <c r="K1514">
        <v>9.75</v>
      </c>
      <c r="L1514">
        <v>0.0</v>
      </c>
      <c r="M1514"/>
      <c r="N1514"/>
      <c r="O1514">
        <v>1.75</v>
      </c>
      <c r="P1514">
        <v>0.0</v>
      </c>
      <c r="Q1514">
        <v>11.5</v>
      </c>
      <c r="R1514"/>
      <c r="S1514"/>
      <c r="T1514"/>
      <c r="U1514"/>
      <c r="V1514"/>
      <c r="W1514">
        <v>18</v>
      </c>
    </row>
    <row r="1515" spans="1:23">
      <c r="A1515"/>
      <c r="B1515" t="s">
        <v>62</v>
      </c>
      <c r="C1515" t="s">
        <v>62</v>
      </c>
      <c r="D1515" t="s">
        <v>33</v>
      </c>
      <c r="E1515" t="s">
        <v>34</v>
      </c>
      <c r="F1515" t="str">
        <f>"0001828"</f>
        <v>0001828</v>
      </c>
      <c r="G1515">
        <v>1</v>
      </c>
      <c r="H1515" t="str">
        <f>"00000000"</f>
        <v>00000000</v>
      </c>
      <c r="I1515" t="s">
        <v>35</v>
      </c>
      <c r="J1515"/>
      <c r="K1515">
        <v>12.63</v>
      </c>
      <c r="L1515">
        <v>0.0</v>
      </c>
      <c r="M1515"/>
      <c r="N1515"/>
      <c r="O1515">
        <v>2.27</v>
      </c>
      <c r="P1515">
        <v>0.0</v>
      </c>
      <c r="Q1515">
        <v>14.9</v>
      </c>
      <c r="R1515"/>
      <c r="S1515"/>
      <c r="T1515"/>
      <c r="U1515"/>
      <c r="V1515"/>
      <c r="W1515">
        <v>18</v>
      </c>
    </row>
    <row r="1516" spans="1:23">
      <c r="A1516"/>
      <c r="B1516" t="s">
        <v>62</v>
      </c>
      <c r="C1516" t="s">
        <v>62</v>
      </c>
      <c r="D1516" t="s">
        <v>33</v>
      </c>
      <c r="E1516" t="s">
        <v>34</v>
      </c>
      <c r="F1516" t="str">
        <f>"0001829"</f>
        <v>0001829</v>
      </c>
      <c r="G1516">
        <v>1</v>
      </c>
      <c r="H1516" t="str">
        <f>"00000000"</f>
        <v>00000000</v>
      </c>
      <c r="I1516" t="s">
        <v>35</v>
      </c>
      <c r="J1516"/>
      <c r="K1516">
        <v>2.81</v>
      </c>
      <c r="L1516">
        <v>0.0</v>
      </c>
      <c r="M1516"/>
      <c r="N1516"/>
      <c r="O1516">
        <v>0.51</v>
      </c>
      <c r="P1516">
        <v>0.0</v>
      </c>
      <c r="Q1516">
        <v>3.32</v>
      </c>
      <c r="R1516"/>
      <c r="S1516"/>
      <c r="T1516"/>
      <c r="U1516"/>
      <c r="V1516"/>
      <c r="W1516">
        <v>18</v>
      </c>
    </row>
    <row r="1517" spans="1:23">
      <c r="A1517"/>
      <c r="B1517" t="s">
        <v>62</v>
      </c>
      <c r="C1517" t="s">
        <v>62</v>
      </c>
      <c r="D1517" t="s">
        <v>33</v>
      </c>
      <c r="E1517" t="s">
        <v>34</v>
      </c>
      <c r="F1517" t="str">
        <f>"0001830"</f>
        <v>0001830</v>
      </c>
      <c r="G1517">
        <v>1</v>
      </c>
      <c r="H1517" t="str">
        <f>"00000000"</f>
        <v>00000000</v>
      </c>
      <c r="I1517" t="s">
        <v>35</v>
      </c>
      <c r="J1517"/>
      <c r="K1517">
        <v>17.87</v>
      </c>
      <c r="L1517">
        <v>0.0</v>
      </c>
      <c r="M1517"/>
      <c r="N1517"/>
      <c r="O1517">
        <v>3.22</v>
      </c>
      <c r="P1517">
        <v>0.0</v>
      </c>
      <c r="Q1517">
        <v>21.09</v>
      </c>
      <c r="R1517"/>
      <c r="S1517"/>
      <c r="T1517"/>
      <c r="U1517"/>
      <c r="V1517"/>
      <c r="W1517">
        <v>18</v>
      </c>
    </row>
    <row r="1518" spans="1:23">
      <c r="A1518"/>
      <c r="B1518" t="s">
        <v>62</v>
      </c>
      <c r="C1518" t="s">
        <v>62</v>
      </c>
      <c r="D1518" t="s">
        <v>33</v>
      </c>
      <c r="E1518" t="s">
        <v>34</v>
      </c>
      <c r="F1518" t="str">
        <f>"0001831"</f>
        <v>0001831</v>
      </c>
      <c r="G1518">
        <v>1</v>
      </c>
      <c r="H1518" t="str">
        <f>"00000000"</f>
        <v>00000000</v>
      </c>
      <c r="I1518" t="s">
        <v>35</v>
      </c>
      <c r="J1518"/>
      <c r="K1518">
        <v>15.43</v>
      </c>
      <c r="L1518">
        <v>0.0</v>
      </c>
      <c r="M1518"/>
      <c r="N1518"/>
      <c r="O1518">
        <v>2.78</v>
      </c>
      <c r="P1518">
        <v>0.0</v>
      </c>
      <c r="Q1518">
        <v>18.21</v>
      </c>
      <c r="R1518"/>
      <c r="S1518"/>
      <c r="T1518"/>
      <c r="U1518"/>
      <c r="V1518"/>
      <c r="W1518">
        <v>18</v>
      </c>
    </row>
    <row r="1519" spans="1:23">
      <c r="A1519"/>
      <c r="B1519" t="s">
        <v>62</v>
      </c>
      <c r="C1519" t="s">
        <v>62</v>
      </c>
      <c r="D1519" t="s">
        <v>33</v>
      </c>
      <c r="E1519" t="s">
        <v>34</v>
      </c>
      <c r="F1519" t="str">
        <f>"0001832"</f>
        <v>0001832</v>
      </c>
      <c r="G1519">
        <v>1</v>
      </c>
      <c r="H1519" t="str">
        <f>"00000000"</f>
        <v>00000000</v>
      </c>
      <c r="I1519" t="s">
        <v>35</v>
      </c>
      <c r="J1519"/>
      <c r="K1519">
        <v>0.08</v>
      </c>
      <c r="L1519">
        <v>0.0</v>
      </c>
      <c r="M1519"/>
      <c r="N1519"/>
      <c r="O1519">
        <v>0.02</v>
      </c>
      <c r="P1519">
        <v>0.2</v>
      </c>
      <c r="Q1519">
        <v>0.3</v>
      </c>
      <c r="R1519"/>
      <c r="S1519"/>
      <c r="T1519"/>
      <c r="U1519"/>
      <c r="V1519"/>
      <c r="W1519">
        <v>18</v>
      </c>
    </row>
    <row r="1520" spans="1:23">
      <c r="A1520"/>
      <c r="B1520" t="s">
        <v>62</v>
      </c>
      <c r="C1520" t="s">
        <v>62</v>
      </c>
      <c r="D1520" t="s">
        <v>33</v>
      </c>
      <c r="E1520" t="s">
        <v>34</v>
      </c>
      <c r="F1520" t="str">
        <f>"0001833"</f>
        <v>0001833</v>
      </c>
      <c r="G1520">
        <v>1</v>
      </c>
      <c r="H1520" t="str">
        <f>"00000000"</f>
        <v>00000000</v>
      </c>
      <c r="I1520" t="s">
        <v>35</v>
      </c>
      <c r="J1520"/>
      <c r="K1520">
        <v>5.22</v>
      </c>
      <c r="L1520">
        <v>0.0</v>
      </c>
      <c r="M1520"/>
      <c r="N1520"/>
      <c r="O1520">
        <v>0.94</v>
      </c>
      <c r="P1520">
        <v>0.0</v>
      </c>
      <c r="Q1520">
        <v>6.15</v>
      </c>
      <c r="R1520"/>
      <c r="S1520"/>
      <c r="T1520"/>
      <c r="U1520"/>
      <c r="V1520"/>
      <c r="W1520">
        <v>18</v>
      </c>
    </row>
    <row r="1521" spans="1:23">
      <c r="A1521"/>
      <c r="B1521" t="s">
        <v>62</v>
      </c>
      <c r="C1521" t="s">
        <v>62</v>
      </c>
      <c r="D1521" t="s">
        <v>33</v>
      </c>
      <c r="E1521" t="s">
        <v>34</v>
      </c>
      <c r="F1521" t="str">
        <f>"0001834"</f>
        <v>0001834</v>
      </c>
      <c r="G1521">
        <v>1</v>
      </c>
      <c r="H1521" t="str">
        <f>"00000000"</f>
        <v>00000000</v>
      </c>
      <c r="I1521" t="s">
        <v>35</v>
      </c>
      <c r="J1521"/>
      <c r="K1521">
        <v>9.83</v>
      </c>
      <c r="L1521">
        <v>0.0</v>
      </c>
      <c r="M1521"/>
      <c r="N1521"/>
      <c r="O1521">
        <v>1.77</v>
      </c>
      <c r="P1521">
        <v>0.2</v>
      </c>
      <c r="Q1521">
        <v>11.8</v>
      </c>
      <c r="R1521"/>
      <c r="S1521"/>
      <c r="T1521"/>
      <c r="U1521"/>
      <c r="V1521"/>
      <c r="W1521">
        <v>18</v>
      </c>
    </row>
    <row r="1522" spans="1:23">
      <c r="A1522"/>
      <c r="B1522" t="s">
        <v>62</v>
      </c>
      <c r="C1522" t="s">
        <v>62</v>
      </c>
      <c r="D1522" t="s">
        <v>33</v>
      </c>
      <c r="E1522" t="s">
        <v>34</v>
      </c>
      <c r="F1522" t="str">
        <f>"0001835"</f>
        <v>0001835</v>
      </c>
      <c r="G1522">
        <v>1</v>
      </c>
      <c r="H1522" t="str">
        <f>"00000000"</f>
        <v>00000000</v>
      </c>
      <c r="I1522" t="s">
        <v>35</v>
      </c>
      <c r="J1522"/>
      <c r="K1522">
        <v>15.48</v>
      </c>
      <c r="L1522">
        <v>0.0</v>
      </c>
      <c r="M1522"/>
      <c r="N1522"/>
      <c r="O1522">
        <v>2.79</v>
      </c>
      <c r="P1522">
        <v>0.2</v>
      </c>
      <c r="Q1522">
        <v>18.47</v>
      </c>
      <c r="R1522"/>
      <c r="S1522"/>
      <c r="T1522"/>
      <c r="U1522"/>
      <c r="V1522"/>
      <c r="W1522">
        <v>18</v>
      </c>
    </row>
    <row r="1523" spans="1:23">
      <c r="A1523"/>
      <c r="B1523" t="s">
        <v>62</v>
      </c>
      <c r="C1523" t="s">
        <v>62</v>
      </c>
      <c r="D1523" t="s">
        <v>33</v>
      </c>
      <c r="E1523" t="s">
        <v>34</v>
      </c>
      <c r="F1523" t="str">
        <f>"0001836"</f>
        <v>0001836</v>
      </c>
      <c r="G1523">
        <v>1</v>
      </c>
      <c r="H1523" t="str">
        <f>"00000000"</f>
        <v>00000000</v>
      </c>
      <c r="I1523" t="s">
        <v>35</v>
      </c>
      <c r="J1523"/>
      <c r="K1523">
        <v>14.07</v>
      </c>
      <c r="L1523">
        <v>0.0</v>
      </c>
      <c r="M1523"/>
      <c r="N1523"/>
      <c r="O1523">
        <v>2.53</v>
      </c>
      <c r="P1523">
        <v>0.2</v>
      </c>
      <c r="Q1523">
        <v>16.8</v>
      </c>
      <c r="R1523"/>
      <c r="S1523"/>
      <c r="T1523"/>
      <c r="U1523"/>
      <c r="V1523"/>
      <c r="W1523">
        <v>18</v>
      </c>
    </row>
    <row r="1524" spans="1:23">
      <c r="A1524"/>
      <c r="B1524" t="s">
        <v>62</v>
      </c>
      <c r="C1524" t="s">
        <v>62</v>
      </c>
      <c r="D1524" t="s">
        <v>33</v>
      </c>
      <c r="E1524" t="s">
        <v>34</v>
      </c>
      <c r="F1524" t="str">
        <f>"0001837"</f>
        <v>0001837</v>
      </c>
      <c r="G1524">
        <v>1</v>
      </c>
      <c r="H1524" t="str">
        <f>"00000000"</f>
        <v>00000000</v>
      </c>
      <c r="I1524" t="s">
        <v>35</v>
      </c>
      <c r="J1524"/>
      <c r="K1524">
        <v>10.36</v>
      </c>
      <c r="L1524">
        <v>0.0</v>
      </c>
      <c r="M1524"/>
      <c r="N1524"/>
      <c r="O1524">
        <v>1.86</v>
      </c>
      <c r="P1524">
        <v>0.0</v>
      </c>
      <c r="Q1524">
        <v>12.22</v>
      </c>
      <c r="R1524"/>
      <c r="S1524"/>
      <c r="T1524"/>
      <c r="U1524"/>
      <c r="V1524"/>
      <c r="W1524">
        <v>18</v>
      </c>
    </row>
    <row r="1525" spans="1:23">
      <c r="A1525"/>
      <c r="B1525" t="s">
        <v>62</v>
      </c>
      <c r="C1525" t="s">
        <v>62</v>
      </c>
      <c r="D1525" t="s">
        <v>33</v>
      </c>
      <c r="E1525" t="s">
        <v>34</v>
      </c>
      <c r="F1525" t="str">
        <f>"0001838"</f>
        <v>0001838</v>
      </c>
      <c r="G1525">
        <v>1</v>
      </c>
      <c r="H1525" t="str">
        <f>"00000000"</f>
        <v>00000000</v>
      </c>
      <c r="I1525" t="s">
        <v>35</v>
      </c>
      <c r="J1525"/>
      <c r="K1525">
        <v>0.08</v>
      </c>
      <c r="L1525">
        <v>0.0</v>
      </c>
      <c r="M1525"/>
      <c r="N1525"/>
      <c r="O1525">
        <v>0.02</v>
      </c>
      <c r="P1525">
        <v>0.2</v>
      </c>
      <c r="Q1525">
        <v>0.3</v>
      </c>
      <c r="R1525"/>
      <c r="S1525"/>
      <c r="T1525"/>
      <c r="U1525"/>
      <c r="V1525"/>
      <c r="W1525">
        <v>18</v>
      </c>
    </row>
    <row r="1526" spans="1:23">
      <c r="A1526"/>
      <c r="B1526" t="s">
        <v>62</v>
      </c>
      <c r="C1526" t="s">
        <v>62</v>
      </c>
      <c r="D1526" t="s">
        <v>33</v>
      </c>
      <c r="E1526" t="s">
        <v>34</v>
      </c>
      <c r="F1526" t="str">
        <f>"0001839"</f>
        <v>0001839</v>
      </c>
      <c r="G1526">
        <v>1</v>
      </c>
      <c r="H1526" t="str">
        <f>"00000000"</f>
        <v>00000000</v>
      </c>
      <c r="I1526" t="s">
        <v>35</v>
      </c>
      <c r="J1526"/>
      <c r="K1526">
        <v>20.68</v>
      </c>
      <c r="L1526">
        <v>0.0</v>
      </c>
      <c r="M1526"/>
      <c r="N1526"/>
      <c r="O1526">
        <v>3.72</v>
      </c>
      <c r="P1526">
        <v>0.2</v>
      </c>
      <c r="Q1526">
        <v>24.6</v>
      </c>
      <c r="R1526"/>
      <c r="S1526"/>
      <c r="T1526"/>
      <c r="U1526"/>
      <c r="V1526"/>
      <c r="W1526">
        <v>18</v>
      </c>
    </row>
    <row r="1527" spans="1:23">
      <c r="A1527"/>
      <c r="B1527" t="s">
        <v>62</v>
      </c>
      <c r="C1527" t="s">
        <v>62</v>
      </c>
      <c r="D1527" t="s">
        <v>33</v>
      </c>
      <c r="E1527" t="s">
        <v>34</v>
      </c>
      <c r="F1527" t="str">
        <f>"0001840"</f>
        <v>0001840</v>
      </c>
      <c r="G1527">
        <v>1</v>
      </c>
      <c r="H1527" t="str">
        <f>"00000000"</f>
        <v>00000000</v>
      </c>
      <c r="I1527" t="s">
        <v>35</v>
      </c>
      <c r="J1527"/>
      <c r="K1527">
        <v>7.63</v>
      </c>
      <c r="L1527">
        <v>0.0</v>
      </c>
      <c r="M1527"/>
      <c r="N1527"/>
      <c r="O1527">
        <v>1.37</v>
      </c>
      <c r="P1527">
        <v>0.0</v>
      </c>
      <c r="Q1527">
        <v>9.0</v>
      </c>
      <c r="R1527"/>
      <c r="S1527"/>
      <c r="T1527"/>
      <c r="U1527"/>
      <c r="V1527"/>
      <c r="W1527">
        <v>18</v>
      </c>
    </row>
    <row r="1528" spans="1:23">
      <c r="A1528"/>
      <c r="B1528" t="s">
        <v>62</v>
      </c>
      <c r="C1528" t="s">
        <v>62</v>
      </c>
      <c r="D1528" t="s">
        <v>33</v>
      </c>
      <c r="E1528" t="s">
        <v>34</v>
      </c>
      <c r="F1528" t="str">
        <f>"0001841"</f>
        <v>0001841</v>
      </c>
      <c r="G1528">
        <v>1</v>
      </c>
      <c r="H1528" t="str">
        <f>"00000000"</f>
        <v>00000000</v>
      </c>
      <c r="I1528" t="s">
        <v>35</v>
      </c>
      <c r="J1528"/>
      <c r="K1528">
        <v>53.85</v>
      </c>
      <c r="L1528">
        <v>0.0</v>
      </c>
      <c r="M1528"/>
      <c r="N1528"/>
      <c r="O1528">
        <v>9.69</v>
      </c>
      <c r="P1528">
        <v>0.0</v>
      </c>
      <c r="Q1528">
        <v>63.55</v>
      </c>
      <c r="R1528"/>
      <c r="S1528"/>
      <c r="T1528"/>
      <c r="U1528"/>
      <c r="V1528"/>
      <c r="W1528">
        <v>18</v>
      </c>
    </row>
    <row r="1529" spans="1:23">
      <c r="A1529"/>
      <c r="B1529" t="s">
        <v>62</v>
      </c>
      <c r="C1529" t="s">
        <v>62</v>
      </c>
      <c r="D1529" t="s">
        <v>33</v>
      </c>
      <c r="E1529" t="s">
        <v>34</v>
      </c>
      <c r="F1529" t="str">
        <f>"0001842"</f>
        <v>0001842</v>
      </c>
      <c r="G1529">
        <v>1</v>
      </c>
      <c r="H1529" t="str">
        <f>"00000000"</f>
        <v>00000000</v>
      </c>
      <c r="I1529" t="s">
        <v>35</v>
      </c>
      <c r="J1529"/>
      <c r="K1529">
        <v>18.44</v>
      </c>
      <c r="L1529">
        <v>0.0</v>
      </c>
      <c r="M1529"/>
      <c r="N1529"/>
      <c r="O1529">
        <v>3.32</v>
      </c>
      <c r="P1529">
        <v>0.2</v>
      </c>
      <c r="Q1529">
        <v>21.97</v>
      </c>
      <c r="R1529"/>
      <c r="S1529"/>
      <c r="T1529"/>
      <c r="U1529"/>
      <c r="V1529"/>
      <c r="W1529">
        <v>18</v>
      </c>
    </row>
    <row r="1530" spans="1:23">
      <c r="A1530"/>
      <c r="B1530" t="s">
        <v>62</v>
      </c>
      <c r="C1530" t="s">
        <v>62</v>
      </c>
      <c r="D1530" t="s">
        <v>33</v>
      </c>
      <c r="E1530" t="s">
        <v>34</v>
      </c>
      <c r="F1530" t="str">
        <f>"0001843"</f>
        <v>0001843</v>
      </c>
      <c r="G1530">
        <v>1</v>
      </c>
      <c r="H1530" t="str">
        <f>"00000000"</f>
        <v>00000000</v>
      </c>
      <c r="I1530" t="s">
        <v>35</v>
      </c>
      <c r="J1530"/>
      <c r="K1530">
        <v>7.63</v>
      </c>
      <c r="L1530">
        <v>0.0</v>
      </c>
      <c r="M1530"/>
      <c r="N1530"/>
      <c r="O1530">
        <v>1.37</v>
      </c>
      <c r="P1530">
        <v>0.0</v>
      </c>
      <c r="Q1530">
        <v>9.0</v>
      </c>
      <c r="R1530"/>
      <c r="S1530"/>
      <c r="T1530"/>
      <c r="U1530"/>
      <c r="V1530"/>
      <c r="W1530">
        <v>18</v>
      </c>
    </row>
    <row r="1531" spans="1:23">
      <c r="A1531"/>
      <c r="B1531" t="s">
        <v>62</v>
      </c>
      <c r="C1531" t="s">
        <v>62</v>
      </c>
      <c r="D1531" t="s">
        <v>33</v>
      </c>
      <c r="E1531" t="s">
        <v>34</v>
      </c>
      <c r="F1531" t="str">
        <f>"0001844"</f>
        <v>0001844</v>
      </c>
      <c r="G1531">
        <v>1</v>
      </c>
      <c r="H1531" t="str">
        <f>"00000000"</f>
        <v>00000000</v>
      </c>
      <c r="I1531" t="s">
        <v>35</v>
      </c>
      <c r="J1531"/>
      <c r="K1531">
        <v>220.81</v>
      </c>
      <c r="L1531">
        <v>0.0</v>
      </c>
      <c r="M1531"/>
      <c r="N1531"/>
      <c r="O1531">
        <v>39.75</v>
      </c>
      <c r="P1531">
        <v>0.0</v>
      </c>
      <c r="Q1531">
        <v>260.56</v>
      </c>
      <c r="R1531"/>
      <c r="S1531"/>
      <c r="T1531"/>
      <c r="U1531"/>
      <c r="V1531"/>
      <c r="W1531">
        <v>18</v>
      </c>
    </row>
    <row r="1532" spans="1:23">
      <c r="A1532"/>
      <c r="B1532" t="s">
        <v>62</v>
      </c>
      <c r="C1532" t="s">
        <v>62</v>
      </c>
      <c r="D1532" t="s">
        <v>33</v>
      </c>
      <c r="E1532" t="s">
        <v>34</v>
      </c>
      <c r="F1532" t="str">
        <f>"0001845"</f>
        <v>0001845</v>
      </c>
      <c r="G1532">
        <v>1</v>
      </c>
      <c r="H1532" t="str">
        <f>"00000000"</f>
        <v>00000000</v>
      </c>
      <c r="I1532" t="s">
        <v>35</v>
      </c>
      <c r="J1532"/>
      <c r="K1532">
        <v>0.08</v>
      </c>
      <c r="L1532">
        <v>0.0</v>
      </c>
      <c r="M1532"/>
      <c r="N1532"/>
      <c r="O1532">
        <v>0.02</v>
      </c>
      <c r="P1532">
        <v>0.2</v>
      </c>
      <c r="Q1532">
        <v>0.3</v>
      </c>
      <c r="R1532"/>
      <c r="S1532"/>
      <c r="T1532"/>
      <c r="U1532"/>
      <c r="V1532"/>
      <c r="W1532">
        <v>18</v>
      </c>
    </row>
    <row r="1533" spans="1:23">
      <c r="A1533"/>
      <c r="B1533" t="s">
        <v>62</v>
      </c>
      <c r="C1533" t="s">
        <v>62</v>
      </c>
      <c r="D1533" t="s">
        <v>33</v>
      </c>
      <c r="E1533" t="s">
        <v>34</v>
      </c>
      <c r="F1533" t="str">
        <f>"0001846"</f>
        <v>0001846</v>
      </c>
      <c r="G1533">
        <v>1</v>
      </c>
      <c r="H1533" t="str">
        <f>"00000000"</f>
        <v>00000000</v>
      </c>
      <c r="I1533" t="s">
        <v>35</v>
      </c>
      <c r="J1533"/>
      <c r="K1533">
        <v>21.18</v>
      </c>
      <c r="L1533">
        <v>0.0</v>
      </c>
      <c r="M1533"/>
      <c r="N1533"/>
      <c r="O1533">
        <v>3.81</v>
      </c>
      <c r="P1533">
        <v>0.0</v>
      </c>
      <c r="Q1533">
        <v>24.99</v>
      </c>
      <c r="R1533"/>
      <c r="S1533"/>
      <c r="T1533"/>
      <c r="U1533"/>
      <c r="V1533"/>
      <c r="W1533">
        <v>18</v>
      </c>
    </row>
    <row r="1534" spans="1:23">
      <c r="A1534"/>
      <c r="B1534" t="s">
        <v>62</v>
      </c>
      <c r="C1534" t="s">
        <v>62</v>
      </c>
      <c r="D1534" t="s">
        <v>33</v>
      </c>
      <c r="E1534" t="s">
        <v>34</v>
      </c>
      <c r="F1534" t="str">
        <f>"0001847"</f>
        <v>0001847</v>
      </c>
      <c r="G1534">
        <v>1</v>
      </c>
      <c r="H1534" t="str">
        <f>"00000000"</f>
        <v>00000000</v>
      </c>
      <c r="I1534" t="s">
        <v>35</v>
      </c>
      <c r="J1534"/>
      <c r="K1534">
        <v>31.35</v>
      </c>
      <c r="L1534">
        <v>0.0</v>
      </c>
      <c r="M1534"/>
      <c r="N1534"/>
      <c r="O1534">
        <v>5.64</v>
      </c>
      <c r="P1534">
        <v>0.0</v>
      </c>
      <c r="Q1534">
        <v>36.99</v>
      </c>
      <c r="R1534"/>
      <c r="S1534"/>
      <c r="T1534"/>
      <c r="U1534"/>
      <c r="V1534"/>
      <c r="W1534">
        <v>18</v>
      </c>
    </row>
    <row r="1535" spans="1:23">
      <c r="A1535"/>
      <c r="B1535" t="s">
        <v>62</v>
      </c>
      <c r="C1535" t="s">
        <v>62</v>
      </c>
      <c r="D1535" t="s">
        <v>33</v>
      </c>
      <c r="E1535" t="s">
        <v>34</v>
      </c>
      <c r="F1535" t="str">
        <f>"0001848"</f>
        <v>0001848</v>
      </c>
      <c r="G1535">
        <v>1</v>
      </c>
      <c r="H1535" t="str">
        <f>"00000000"</f>
        <v>00000000</v>
      </c>
      <c r="I1535" t="s">
        <v>35</v>
      </c>
      <c r="J1535"/>
      <c r="K1535">
        <v>10.17</v>
      </c>
      <c r="L1535">
        <v>0.0</v>
      </c>
      <c r="M1535"/>
      <c r="N1535"/>
      <c r="O1535">
        <v>1.83</v>
      </c>
      <c r="P1535">
        <v>0.0</v>
      </c>
      <c r="Q1535">
        <v>12.0</v>
      </c>
      <c r="R1535"/>
      <c r="S1535"/>
      <c r="T1535"/>
      <c r="U1535"/>
      <c r="V1535"/>
      <c r="W1535">
        <v>18</v>
      </c>
    </row>
    <row r="1536" spans="1:23">
      <c r="A1536"/>
      <c r="B1536" t="s">
        <v>62</v>
      </c>
      <c r="C1536" t="s">
        <v>62</v>
      </c>
      <c r="D1536" t="s">
        <v>33</v>
      </c>
      <c r="E1536" t="s">
        <v>34</v>
      </c>
      <c r="F1536" t="str">
        <f>"0001849"</f>
        <v>0001849</v>
      </c>
      <c r="G1536">
        <v>1</v>
      </c>
      <c r="H1536" t="str">
        <f>"00000000"</f>
        <v>00000000</v>
      </c>
      <c r="I1536" t="s">
        <v>35</v>
      </c>
      <c r="J1536"/>
      <c r="K1536">
        <v>8.14</v>
      </c>
      <c r="L1536">
        <v>0.0</v>
      </c>
      <c r="M1536"/>
      <c r="N1536"/>
      <c r="O1536">
        <v>1.46</v>
      </c>
      <c r="P1536">
        <v>0.2</v>
      </c>
      <c r="Q1536">
        <v>9.8</v>
      </c>
      <c r="R1536"/>
      <c r="S1536"/>
      <c r="T1536"/>
      <c r="U1536"/>
      <c r="V1536"/>
      <c r="W1536">
        <v>18</v>
      </c>
    </row>
    <row r="1537" spans="1:23">
      <c r="A1537"/>
      <c r="B1537" t="s">
        <v>62</v>
      </c>
      <c r="C1537" t="s">
        <v>62</v>
      </c>
      <c r="D1537" t="s">
        <v>33</v>
      </c>
      <c r="E1537" t="s">
        <v>34</v>
      </c>
      <c r="F1537" t="str">
        <f>"0001850"</f>
        <v>0001850</v>
      </c>
      <c r="G1537">
        <v>1</v>
      </c>
      <c r="H1537" t="str">
        <f>"00000000"</f>
        <v>00000000</v>
      </c>
      <c r="I1537" t="s">
        <v>35</v>
      </c>
      <c r="J1537"/>
      <c r="K1537">
        <v>2.12</v>
      </c>
      <c r="L1537">
        <v>0.0</v>
      </c>
      <c r="M1537"/>
      <c r="N1537"/>
      <c r="O1537">
        <v>0.38</v>
      </c>
      <c r="P1537">
        <v>0.0</v>
      </c>
      <c r="Q1537">
        <v>2.5</v>
      </c>
      <c r="R1537"/>
      <c r="S1537"/>
      <c r="T1537"/>
      <c r="U1537"/>
      <c r="V1537"/>
      <c r="W1537">
        <v>18</v>
      </c>
    </row>
    <row r="1538" spans="1:23">
      <c r="A1538"/>
      <c r="B1538" t="s">
        <v>62</v>
      </c>
      <c r="C1538" t="s">
        <v>62</v>
      </c>
      <c r="D1538" t="s">
        <v>33</v>
      </c>
      <c r="E1538" t="s">
        <v>34</v>
      </c>
      <c r="F1538" t="str">
        <f>"0001851"</f>
        <v>0001851</v>
      </c>
      <c r="G1538">
        <v>1</v>
      </c>
      <c r="H1538" t="str">
        <f>"00000000"</f>
        <v>00000000</v>
      </c>
      <c r="I1538" t="s">
        <v>35</v>
      </c>
      <c r="J1538"/>
      <c r="K1538">
        <v>45.65</v>
      </c>
      <c r="L1538">
        <v>0.0</v>
      </c>
      <c r="M1538"/>
      <c r="N1538"/>
      <c r="O1538">
        <v>8.22</v>
      </c>
      <c r="P1538">
        <v>0.4</v>
      </c>
      <c r="Q1538">
        <v>54.27</v>
      </c>
      <c r="R1538"/>
      <c r="S1538"/>
      <c r="T1538"/>
      <c r="U1538"/>
      <c r="V1538"/>
      <c r="W1538">
        <v>18</v>
      </c>
    </row>
    <row r="1539" spans="1:23">
      <c r="A1539"/>
      <c r="B1539" t="s">
        <v>62</v>
      </c>
      <c r="C1539" t="s">
        <v>62</v>
      </c>
      <c r="D1539" t="s">
        <v>33</v>
      </c>
      <c r="E1539" t="s">
        <v>34</v>
      </c>
      <c r="F1539" t="str">
        <f>"0001852"</f>
        <v>0001852</v>
      </c>
      <c r="G1539">
        <v>1</v>
      </c>
      <c r="H1539" t="str">
        <f>"00000000"</f>
        <v>00000000</v>
      </c>
      <c r="I1539" t="s">
        <v>35</v>
      </c>
      <c r="J1539"/>
      <c r="K1539">
        <v>12.4</v>
      </c>
      <c r="L1539">
        <v>0.0</v>
      </c>
      <c r="M1539"/>
      <c r="N1539"/>
      <c r="O1539">
        <v>2.23</v>
      </c>
      <c r="P1539">
        <v>0.2</v>
      </c>
      <c r="Q1539">
        <v>14.84</v>
      </c>
      <c r="R1539"/>
      <c r="S1539"/>
      <c r="T1539"/>
      <c r="U1539"/>
      <c r="V1539"/>
      <c r="W1539">
        <v>18</v>
      </c>
    </row>
    <row r="1540" spans="1:23">
      <c r="A1540"/>
      <c r="B1540" t="s">
        <v>62</v>
      </c>
      <c r="C1540" t="s">
        <v>62</v>
      </c>
      <c r="D1540" t="s">
        <v>33</v>
      </c>
      <c r="E1540" t="s">
        <v>34</v>
      </c>
      <c r="F1540" t="str">
        <f>"0001853"</f>
        <v>0001853</v>
      </c>
      <c r="G1540">
        <v>1</v>
      </c>
      <c r="H1540" t="str">
        <f>"00000000"</f>
        <v>00000000</v>
      </c>
      <c r="I1540" t="s">
        <v>35</v>
      </c>
      <c r="J1540"/>
      <c r="K1540">
        <v>2.24</v>
      </c>
      <c r="L1540">
        <v>0.0</v>
      </c>
      <c r="M1540"/>
      <c r="N1540"/>
      <c r="O1540">
        <v>0.4</v>
      </c>
      <c r="P1540">
        <v>0.0</v>
      </c>
      <c r="Q1540">
        <v>2.64</v>
      </c>
      <c r="R1540"/>
      <c r="S1540"/>
      <c r="T1540"/>
      <c r="U1540"/>
      <c r="V1540"/>
      <c r="W1540">
        <v>18</v>
      </c>
    </row>
    <row r="1541" spans="1:23">
      <c r="A1541"/>
      <c r="B1541" t="s">
        <v>62</v>
      </c>
      <c r="C1541" t="s">
        <v>62</v>
      </c>
      <c r="D1541" t="s">
        <v>33</v>
      </c>
      <c r="E1541" t="s">
        <v>34</v>
      </c>
      <c r="F1541" t="str">
        <f>"0001854"</f>
        <v>0001854</v>
      </c>
      <c r="G1541">
        <v>1</v>
      </c>
      <c r="H1541" t="str">
        <f>"00000000"</f>
        <v>00000000</v>
      </c>
      <c r="I1541" t="s">
        <v>35</v>
      </c>
      <c r="J1541"/>
      <c r="K1541">
        <v>29.49</v>
      </c>
      <c r="L1541">
        <v>0.0</v>
      </c>
      <c r="M1541"/>
      <c r="N1541"/>
      <c r="O1541">
        <v>5.31</v>
      </c>
      <c r="P1541">
        <v>0.4</v>
      </c>
      <c r="Q1541">
        <v>35.2</v>
      </c>
      <c r="R1541"/>
      <c r="S1541"/>
      <c r="T1541"/>
      <c r="U1541"/>
      <c r="V1541"/>
      <c r="W1541">
        <v>18</v>
      </c>
    </row>
    <row r="1542" spans="1:23">
      <c r="A1542"/>
      <c r="B1542" t="s">
        <v>62</v>
      </c>
      <c r="C1542" t="s">
        <v>62</v>
      </c>
      <c r="D1542" t="s">
        <v>33</v>
      </c>
      <c r="E1542" t="s">
        <v>34</v>
      </c>
      <c r="F1542" t="str">
        <f>"0001855"</f>
        <v>0001855</v>
      </c>
      <c r="G1542">
        <v>1</v>
      </c>
      <c r="H1542" t="str">
        <f>"00000000"</f>
        <v>00000000</v>
      </c>
      <c r="I1542" t="s">
        <v>35</v>
      </c>
      <c r="J1542"/>
      <c r="K1542">
        <v>2.54</v>
      </c>
      <c r="L1542">
        <v>0.0</v>
      </c>
      <c r="M1542"/>
      <c r="N1542"/>
      <c r="O1542">
        <v>0.46</v>
      </c>
      <c r="P1542">
        <v>0.0</v>
      </c>
      <c r="Q1542">
        <v>3.0</v>
      </c>
      <c r="R1542"/>
      <c r="S1542"/>
      <c r="T1542"/>
      <c r="U1542"/>
      <c r="V1542"/>
      <c r="W1542">
        <v>18</v>
      </c>
    </row>
    <row r="1543" spans="1:23">
      <c r="A1543"/>
      <c r="B1543" t="s">
        <v>62</v>
      </c>
      <c r="C1543" t="s">
        <v>62</v>
      </c>
      <c r="D1543" t="s">
        <v>33</v>
      </c>
      <c r="E1543" t="s">
        <v>34</v>
      </c>
      <c r="F1543" t="str">
        <f>"0001856"</f>
        <v>0001856</v>
      </c>
      <c r="G1543">
        <v>1</v>
      </c>
      <c r="H1543" t="str">
        <f>"00000000"</f>
        <v>00000000</v>
      </c>
      <c r="I1543" t="s">
        <v>35</v>
      </c>
      <c r="J1543"/>
      <c r="K1543">
        <v>6.14</v>
      </c>
      <c r="L1543">
        <v>0.0</v>
      </c>
      <c r="M1543"/>
      <c r="N1543"/>
      <c r="O1543">
        <v>1.11</v>
      </c>
      <c r="P1543">
        <v>0.2</v>
      </c>
      <c r="Q1543">
        <v>7.45</v>
      </c>
      <c r="R1543"/>
      <c r="S1543"/>
      <c r="T1543"/>
      <c r="U1543"/>
      <c r="V1543"/>
      <c r="W1543">
        <v>18</v>
      </c>
    </row>
    <row r="1544" spans="1:23">
      <c r="A1544"/>
      <c r="B1544" t="s">
        <v>62</v>
      </c>
      <c r="C1544" t="s">
        <v>62</v>
      </c>
      <c r="D1544" t="s">
        <v>33</v>
      </c>
      <c r="E1544" t="s">
        <v>34</v>
      </c>
      <c r="F1544" t="str">
        <f>"0001857"</f>
        <v>0001857</v>
      </c>
      <c r="G1544">
        <v>1</v>
      </c>
      <c r="H1544" t="str">
        <f>"00000000"</f>
        <v>00000000</v>
      </c>
      <c r="I1544" t="s">
        <v>35</v>
      </c>
      <c r="J1544"/>
      <c r="K1544">
        <v>2.54</v>
      </c>
      <c r="L1544">
        <v>0.0</v>
      </c>
      <c r="M1544"/>
      <c r="N1544"/>
      <c r="O1544">
        <v>0.46</v>
      </c>
      <c r="P1544">
        <v>0.0</v>
      </c>
      <c r="Q1544">
        <v>3.0</v>
      </c>
      <c r="R1544"/>
      <c r="S1544"/>
      <c r="T1544"/>
      <c r="U1544"/>
      <c r="V1544"/>
      <c r="W1544">
        <v>18</v>
      </c>
    </row>
    <row r="1545" spans="1:23">
      <c r="A1545"/>
      <c r="B1545" t="s">
        <v>62</v>
      </c>
      <c r="C1545" t="s">
        <v>62</v>
      </c>
      <c r="D1545" t="s">
        <v>33</v>
      </c>
      <c r="E1545" t="s">
        <v>34</v>
      </c>
      <c r="F1545" t="str">
        <f>"0001858"</f>
        <v>0001858</v>
      </c>
      <c r="G1545">
        <v>1</v>
      </c>
      <c r="H1545" t="str">
        <f>"00000000"</f>
        <v>00000000</v>
      </c>
      <c r="I1545" t="s">
        <v>35</v>
      </c>
      <c r="J1545"/>
      <c r="K1545">
        <v>33.56</v>
      </c>
      <c r="L1545">
        <v>0.0</v>
      </c>
      <c r="M1545"/>
      <c r="N1545"/>
      <c r="O1545">
        <v>6.04</v>
      </c>
      <c r="P1545">
        <v>0.0</v>
      </c>
      <c r="Q1545">
        <v>39.6</v>
      </c>
      <c r="R1545"/>
      <c r="S1545"/>
      <c r="T1545"/>
      <c r="U1545"/>
      <c r="V1545"/>
      <c r="W1545">
        <v>18</v>
      </c>
    </row>
    <row r="1546" spans="1:23">
      <c r="A1546"/>
      <c r="B1546" t="s">
        <v>62</v>
      </c>
      <c r="C1546" t="s">
        <v>62</v>
      </c>
      <c r="D1546" t="s">
        <v>33</v>
      </c>
      <c r="E1546" t="s">
        <v>34</v>
      </c>
      <c r="F1546" t="str">
        <f>"0001859"</f>
        <v>0001859</v>
      </c>
      <c r="G1546">
        <v>1</v>
      </c>
      <c r="H1546" t="str">
        <f>"00000000"</f>
        <v>00000000</v>
      </c>
      <c r="I1546" t="s">
        <v>35</v>
      </c>
      <c r="J1546"/>
      <c r="K1546">
        <v>10.56</v>
      </c>
      <c r="L1546">
        <v>0.0</v>
      </c>
      <c r="M1546"/>
      <c r="N1546"/>
      <c r="O1546">
        <v>1.9</v>
      </c>
      <c r="P1546">
        <v>0.2</v>
      </c>
      <c r="Q1546">
        <v>12.66</v>
      </c>
      <c r="R1546"/>
      <c r="S1546"/>
      <c r="T1546"/>
      <c r="U1546"/>
      <c r="V1546"/>
      <c r="W1546">
        <v>18</v>
      </c>
    </row>
    <row r="1547" spans="1:23">
      <c r="A1547"/>
      <c r="B1547" t="s">
        <v>62</v>
      </c>
      <c r="C1547" t="s">
        <v>62</v>
      </c>
      <c r="D1547" t="s">
        <v>33</v>
      </c>
      <c r="E1547" t="s">
        <v>34</v>
      </c>
      <c r="F1547" t="str">
        <f>"0001860"</f>
        <v>0001860</v>
      </c>
      <c r="G1547">
        <v>1</v>
      </c>
      <c r="H1547" t="str">
        <f>"00000000"</f>
        <v>00000000</v>
      </c>
      <c r="I1547" t="s">
        <v>35</v>
      </c>
      <c r="J1547"/>
      <c r="K1547">
        <v>10.03</v>
      </c>
      <c r="L1547">
        <v>0.0</v>
      </c>
      <c r="M1547"/>
      <c r="N1547"/>
      <c r="O1547">
        <v>1.81</v>
      </c>
      <c r="P1547">
        <v>0.2</v>
      </c>
      <c r="Q1547">
        <v>12.04</v>
      </c>
      <c r="R1547"/>
      <c r="S1547"/>
      <c r="T1547"/>
      <c r="U1547"/>
      <c r="V1547"/>
      <c r="W1547">
        <v>18</v>
      </c>
    </row>
    <row r="1548" spans="1:23">
      <c r="A1548"/>
      <c r="B1548" t="s">
        <v>62</v>
      </c>
      <c r="C1548" t="s">
        <v>62</v>
      </c>
      <c r="D1548" t="s">
        <v>33</v>
      </c>
      <c r="E1548" t="s">
        <v>34</v>
      </c>
      <c r="F1548" t="str">
        <f>"0001861"</f>
        <v>0001861</v>
      </c>
      <c r="G1548">
        <v>1</v>
      </c>
      <c r="H1548" t="str">
        <f>"00000000"</f>
        <v>00000000</v>
      </c>
      <c r="I1548" t="s">
        <v>35</v>
      </c>
      <c r="J1548"/>
      <c r="K1548">
        <v>11.96</v>
      </c>
      <c r="L1548">
        <v>0.0</v>
      </c>
      <c r="M1548"/>
      <c r="N1548"/>
      <c r="O1548">
        <v>2.15</v>
      </c>
      <c r="P1548">
        <v>0.0</v>
      </c>
      <c r="Q1548">
        <v>14.12</v>
      </c>
      <c r="R1548"/>
      <c r="S1548"/>
      <c r="T1548"/>
      <c r="U1548"/>
      <c r="V1548"/>
      <c r="W1548">
        <v>18</v>
      </c>
    </row>
    <row r="1549" spans="1:23">
      <c r="A1549"/>
      <c r="B1549" t="s">
        <v>62</v>
      </c>
      <c r="C1549" t="s">
        <v>62</v>
      </c>
      <c r="D1549" t="s">
        <v>33</v>
      </c>
      <c r="E1549" t="s">
        <v>34</v>
      </c>
      <c r="F1549" t="str">
        <f>"0001862"</f>
        <v>0001862</v>
      </c>
      <c r="G1549">
        <v>1</v>
      </c>
      <c r="H1549" t="str">
        <f>"00000000"</f>
        <v>00000000</v>
      </c>
      <c r="I1549" t="s">
        <v>35</v>
      </c>
      <c r="J1549"/>
      <c r="K1549">
        <v>18.56</v>
      </c>
      <c r="L1549">
        <v>0.0</v>
      </c>
      <c r="M1549"/>
      <c r="N1549"/>
      <c r="O1549">
        <v>3.34</v>
      </c>
      <c r="P1549">
        <v>0.4</v>
      </c>
      <c r="Q1549">
        <v>22.3</v>
      </c>
      <c r="R1549"/>
      <c r="S1549"/>
      <c r="T1549"/>
      <c r="U1549"/>
      <c r="V1549"/>
      <c r="W1549">
        <v>18</v>
      </c>
    </row>
    <row r="1550" spans="1:23">
      <c r="A1550"/>
      <c r="B1550" t="s">
        <v>62</v>
      </c>
      <c r="C1550" t="s">
        <v>62</v>
      </c>
      <c r="D1550" t="s">
        <v>33</v>
      </c>
      <c r="E1550" t="s">
        <v>34</v>
      </c>
      <c r="F1550" t="str">
        <f>"0001863"</f>
        <v>0001863</v>
      </c>
      <c r="G1550">
        <v>1</v>
      </c>
      <c r="H1550" t="str">
        <f>"00000000"</f>
        <v>00000000</v>
      </c>
      <c r="I1550" t="s">
        <v>35</v>
      </c>
      <c r="J1550"/>
      <c r="K1550">
        <v>22.72</v>
      </c>
      <c r="L1550">
        <v>0.0</v>
      </c>
      <c r="M1550"/>
      <c r="N1550"/>
      <c r="O1550">
        <v>4.09</v>
      </c>
      <c r="P1550">
        <v>0.2</v>
      </c>
      <c r="Q1550">
        <v>27.01</v>
      </c>
      <c r="R1550"/>
      <c r="S1550"/>
      <c r="T1550"/>
      <c r="U1550"/>
      <c r="V1550"/>
      <c r="W1550">
        <v>18</v>
      </c>
    </row>
    <row r="1551" spans="1:23">
      <c r="A1551"/>
      <c r="B1551" t="s">
        <v>62</v>
      </c>
      <c r="C1551" t="s">
        <v>62</v>
      </c>
      <c r="D1551" t="s">
        <v>33</v>
      </c>
      <c r="E1551" t="s">
        <v>34</v>
      </c>
      <c r="F1551" t="str">
        <f>"0001864"</f>
        <v>0001864</v>
      </c>
      <c r="G1551">
        <v>1</v>
      </c>
      <c r="H1551" t="str">
        <f>"00000000"</f>
        <v>00000000</v>
      </c>
      <c r="I1551" t="s">
        <v>35</v>
      </c>
      <c r="J1551"/>
      <c r="K1551">
        <v>21.65</v>
      </c>
      <c r="L1551">
        <v>0.0</v>
      </c>
      <c r="M1551"/>
      <c r="N1551"/>
      <c r="O1551">
        <v>3.9</v>
      </c>
      <c r="P1551">
        <v>0.0</v>
      </c>
      <c r="Q1551">
        <v>25.55</v>
      </c>
      <c r="R1551"/>
      <c r="S1551"/>
      <c r="T1551"/>
      <c r="U1551"/>
      <c r="V1551"/>
      <c r="W1551">
        <v>18</v>
      </c>
    </row>
    <row r="1552" spans="1:23">
      <c r="A1552"/>
      <c r="B1552" t="s">
        <v>62</v>
      </c>
      <c r="C1552" t="s">
        <v>62</v>
      </c>
      <c r="D1552" t="s">
        <v>33</v>
      </c>
      <c r="E1552" t="s">
        <v>34</v>
      </c>
      <c r="F1552" t="str">
        <f>"0001865"</f>
        <v>0001865</v>
      </c>
      <c r="G1552">
        <v>1</v>
      </c>
      <c r="H1552" t="str">
        <f>"00000000"</f>
        <v>00000000</v>
      </c>
      <c r="I1552" t="s">
        <v>35</v>
      </c>
      <c r="J1552"/>
      <c r="K1552">
        <v>11.36</v>
      </c>
      <c r="L1552">
        <v>0.0</v>
      </c>
      <c r="M1552"/>
      <c r="N1552"/>
      <c r="O1552">
        <v>2.04</v>
      </c>
      <c r="P1552">
        <v>0.0</v>
      </c>
      <c r="Q1552">
        <v>13.4</v>
      </c>
      <c r="R1552"/>
      <c r="S1552"/>
      <c r="T1552"/>
      <c r="U1552"/>
      <c r="V1552"/>
      <c r="W1552">
        <v>18</v>
      </c>
    </row>
    <row r="1553" spans="1:23">
      <c r="A1553"/>
      <c r="B1553" t="s">
        <v>62</v>
      </c>
      <c r="C1553" t="s">
        <v>62</v>
      </c>
      <c r="D1553" t="s">
        <v>33</v>
      </c>
      <c r="E1553" t="s">
        <v>34</v>
      </c>
      <c r="F1553" t="str">
        <f>"0001866"</f>
        <v>0001866</v>
      </c>
      <c r="G1553">
        <v>1</v>
      </c>
      <c r="H1553" t="str">
        <f>"00000000"</f>
        <v>00000000</v>
      </c>
      <c r="I1553" t="s">
        <v>35</v>
      </c>
      <c r="J1553"/>
      <c r="K1553">
        <v>7.63</v>
      </c>
      <c r="L1553">
        <v>0.0</v>
      </c>
      <c r="M1553"/>
      <c r="N1553"/>
      <c r="O1553">
        <v>1.37</v>
      </c>
      <c r="P1553">
        <v>0.0</v>
      </c>
      <c r="Q1553">
        <v>9.0</v>
      </c>
      <c r="R1553"/>
      <c r="S1553"/>
      <c r="T1553"/>
      <c r="U1553"/>
      <c r="V1553"/>
      <c r="W1553">
        <v>18</v>
      </c>
    </row>
    <row r="1554" spans="1:23">
      <c r="A1554"/>
      <c r="B1554" t="s">
        <v>62</v>
      </c>
      <c r="C1554" t="s">
        <v>62</v>
      </c>
      <c r="D1554" t="s">
        <v>33</v>
      </c>
      <c r="E1554" t="s">
        <v>34</v>
      </c>
      <c r="F1554" t="str">
        <f>"0001867"</f>
        <v>0001867</v>
      </c>
      <c r="G1554">
        <v>1</v>
      </c>
      <c r="H1554" t="str">
        <f>"00000000"</f>
        <v>00000000</v>
      </c>
      <c r="I1554" t="s">
        <v>35</v>
      </c>
      <c r="J1554"/>
      <c r="K1554">
        <v>7.63</v>
      </c>
      <c r="L1554">
        <v>0.0</v>
      </c>
      <c r="M1554"/>
      <c r="N1554"/>
      <c r="O1554">
        <v>1.37</v>
      </c>
      <c r="P1554">
        <v>0.0</v>
      </c>
      <c r="Q1554">
        <v>9.0</v>
      </c>
      <c r="R1554"/>
      <c r="S1554"/>
      <c r="T1554"/>
      <c r="U1554"/>
      <c r="V1554"/>
      <c r="W1554">
        <v>18</v>
      </c>
    </row>
    <row r="1555" spans="1:23">
      <c r="A1555"/>
      <c r="B1555" t="s">
        <v>62</v>
      </c>
      <c r="C1555" t="s">
        <v>62</v>
      </c>
      <c r="D1555" t="s">
        <v>33</v>
      </c>
      <c r="E1555" t="s">
        <v>34</v>
      </c>
      <c r="F1555" t="str">
        <f>"0001868"</f>
        <v>0001868</v>
      </c>
      <c r="G1555">
        <v>1</v>
      </c>
      <c r="H1555" t="str">
        <f>"00000000"</f>
        <v>00000000</v>
      </c>
      <c r="I1555" t="s">
        <v>35</v>
      </c>
      <c r="J1555"/>
      <c r="K1555">
        <v>102.1</v>
      </c>
      <c r="L1555">
        <v>0.0</v>
      </c>
      <c r="M1555"/>
      <c r="N1555"/>
      <c r="O1555">
        <v>18.38</v>
      </c>
      <c r="P1555">
        <v>0.6</v>
      </c>
      <c r="Q1555">
        <v>121.07</v>
      </c>
      <c r="R1555"/>
      <c r="S1555"/>
      <c r="T1555"/>
      <c r="U1555"/>
      <c r="V1555"/>
      <c r="W1555">
        <v>18</v>
      </c>
    </row>
    <row r="1556" spans="1:23">
      <c r="A1556"/>
      <c r="B1556" t="s">
        <v>62</v>
      </c>
      <c r="C1556" t="s">
        <v>62</v>
      </c>
      <c r="D1556" t="s">
        <v>33</v>
      </c>
      <c r="E1556" t="s">
        <v>34</v>
      </c>
      <c r="F1556" t="str">
        <f>"0001869"</f>
        <v>0001869</v>
      </c>
      <c r="G1556">
        <v>1</v>
      </c>
      <c r="H1556" t="str">
        <f>"00000000"</f>
        <v>00000000</v>
      </c>
      <c r="I1556" t="s">
        <v>35</v>
      </c>
      <c r="J1556"/>
      <c r="K1556">
        <v>2.53</v>
      </c>
      <c r="L1556">
        <v>0.0</v>
      </c>
      <c r="M1556"/>
      <c r="N1556"/>
      <c r="O1556">
        <v>0.46</v>
      </c>
      <c r="P1556">
        <v>0.0</v>
      </c>
      <c r="Q1556">
        <v>2.99</v>
      </c>
      <c r="R1556"/>
      <c r="S1556"/>
      <c r="T1556"/>
      <c r="U1556"/>
      <c r="V1556"/>
      <c r="W1556">
        <v>18</v>
      </c>
    </row>
    <row r="1557" spans="1:23">
      <c r="A1557"/>
      <c r="B1557" t="s">
        <v>62</v>
      </c>
      <c r="C1557" t="s">
        <v>62</v>
      </c>
      <c r="D1557" t="s">
        <v>33</v>
      </c>
      <c r="E1557" t="s">
        <v>34</v>
      </c>
      <c r="F1557" t="str">
        <f>"0001870"</f>
        <v>0001870</v>
      </c>
      <c r="G1557">
        <v>1</v>
      </c>
      <c r="H1557" t="str">
        <f>"00000000"</f>
        <v>00000000</v>
      </c>
      <c r="I1557" t="s">
        <v>35</v>
      </c>
      <c r="J1557"/>
      <c r="K1557">
        <v>29.75</v>
      </c>
      <c r="L1557">
        <v>0.0</v>
      </c>
      <c r="M1557"/>
      <c r="N1557"/>
      <c r="O1557">
        <v>5.35</v>
      </c>
      <c r="P1557">
        <v>0.2</v>
      </c>
      <c r="Q1557">
        <v>35.3</v>
      </c>
      <c r="R1557"/>
      <c r="S1557"/>
      <c r="T1557"/>
      <c r="U1557"/>
      <c r="V1557"/>
      <c r="W1557">
        <v>18</v>
      </c>
    </row>
    <row r="1558" spans="1:23">
      <c r="A1558"/>
      <c r="B1558" t="s">
        <v>62</v>
      </c>
      <c r="C1558" t="s">
        <v>62</v>
      </c>
      <c r="D1558" t="s">
        <v>33</v>
      </c>
      <c r="E1558" t="s">
        <v>34</v>
      </c>
      <c r="F1558" t="str">
        <f>"0001871"</f>
        <v>0001871</v>
      </c>
      <c r="G1558">
        <v>1</v>
      </c>
      <c r="H1558" t="str">
        <f>"00000000"</f>
        <v>00000000</v>
      </c>
      <c r="I1558" t="s">
        <v>35</v>
      </c>
      <c r="J1558"/>
      <c r="K1558">
        <v>3.52</v>
      </c>
      <c r="L1558">
        <v>0.0</v>
      </c>
      <c r="M1558"/>
      <c r="N1558"/>
      <c r="O1558">
        <v>0.63</v>
      </c>
      <c r="P1558">
        <v>0.0</v>
      </c>
      <c r="Q1558">
        <v>4.16</v>
      </c>
      <c r="R1558"/>
      <c r="S1558"/>
      <c r="T1558"/>
      <c r="U1558"/>
      <c r="V1558"/>
      <c r="W1558">
        <v>18</v>
      </c>
    </row>
    <row r="1559" spans="1:23">
      <c r="A1559"/>
      <c r="B1559" t="s">
        <v>62</v>
      </c>
      <c r="C1559" t="s">
        <v>62</v>
      </c>
      <c r="D1559" t="s">
        <v>33</v>
      </c>
      <c r="E1559" t="s">
        <v>34</v>
      </c>
      <c r="F1559" t="str">
        <f>"0001872"</f>
        <v>0001872</v>
      </c>
      <c r="G1559">
        <v>1</v>
      </c>
      <c r="H1559" t="str">
        <f>"00000000"</f>
        <v>00000000</v>
      </c>
      <c r="I1559" t="s">
        <v>35</v>
      </c>
      <c r="J1559"/>
      <c r="K1559">
        <v>6.09</v>
      </c>
      <c r="L1559">
        <v>0.0</v>
      </c>
      <c r="M1559"/>
      <c r="N1559"/>
      <c r="O1559">
        <v>1.1</v>
      </c>
      <c r="P1559">
        <v>0.0</v>
      </c>
      <c r="Q1559">
        <v>7.18</v>
      </c>
      <c r="R1559"/>
      <c r="S1559"/>
      <c r="T1559"/>
      <c r="U1559"/>
      <c r="V1559"/>
      <c r="W1559">
        <v>18</v>
      </c>
    </row>
    <row r="1560" spans="1:23">
      <c r="A1560"/>
      <c r="B1560" t="s">
        <v>62</v>
      </c>
      <c r="C1560" t="s">
        <v>62</v>
      </c>
      <c r="D1560" t="s">
        <v>33</v>
      </c>
      <c r="E1560" t="s">
        <v>34</v>
      </c>
      <c r="F1560" t="str">
        <f>"0001873"</f>
        <v>0001873</v>
      </c>
      <c r="G1560">
        <v>1</v>
      </c>
      <c r="H1560" t="str">
        <f>"00000000"</f>
        <v>00000000</v>
      </c>
      <c r="I1560" t="s">
        <v>35</v>
      </c>
      <c r="J1560"/>
      <c r="K1560">
        <v>0.08</v>
      </c>
      <c r="L1560">
        <v>0.0</v>
      </c>
      <c r="M1560"/>
      <c r="N1560"/>
      <c r="O1560">
        <v>0.02</v>
      </c>
      <c r="P1560">
        <v>0.2</v>
      </c>
      <c r="Q1560">
        <v>0.3</v>
      </c>
      <c r="R1560"/>
      <c r="S1560"/>
      <c r="T1560"/>
      <c r="U1560"/>
      <c r="V1560"/>
      <c r="W1560">
        <v>18</v>
      </c>
    </row>
    <row r="1561" spans="1:23">
      <c r="A1561"/>
      <c r="B1561" t="s">
        <v>62</v>
      </c>
      <c r="C1561" t="s">
        <v>62</v>
      </c>
      <c r="D1561" t="s">
        <v>33</v>
      </c>
      <c r="E1561" t="s">
        <v>34</v>
      </c>
      <c r="F1561" t="str">
        <f>"0001874"</f>
        <v>0001874</v>
      </c>
      <c r="G1561">
        <v>1</v>
      </c>
      <c r="H1561" t="str">
        <f>"00000000"</f>
        <v>00000000</v>
      </c>
      <c r="I1561" t="s">
        <v>35</v>
      </c>
      <c r="J1561"/>
      <c r="K1561">
        <v>1.02</v>
      </c>
      <c r="L1561">
        <v>0.0</v>
      </c>
      <c r="M1561"/>
      <c r="N1561"/>
      <c r="O1561">
        <v>0.18</v>
      </c>
      <c r="P1561">
        <v>0.0</v>
      </c>
      <c r="Q1561">
        <v>1.2</v>
      </c>
      <c r="R1561"/>
      <c r="S1561"/>
      <c r="T1561"/>
      <c r="U1561"/>
      <c r="V1561"/>
      <c r="W1561">
        <v>18</v>
      </c>
    </row>
    <row r="1562" spans="1:23">
      <c r="A1562"/>
      <c r="B1562" t="s">
        <v>62</v>
      </c>
      <c r="C1562" t="s">
        <v>62</v>
      </c>
      <c r="D1562" t="s">
        <v>33</v>
      </c>
      <c r="E1562" t="s">
        <v>34</v>
      </c>
      <c r="F1562" t="str">
        <f>"0001875"</f>
        <v>0001875</v>
      </c>
      <c r="G1562">
        <v>1</v>
      </c>
      <c r="H1562" t="str">
        <f>"00000000"</f>
        <v>00000000</v>
      </c>
      <c r="I1562" t="s">
        <v>35</v>
      </c>
      <c r="J1562"/>
      <c r="K1562">
        <v>5.25</v>
      </c>
      <c r="L1562">
        <v>0.0</v>
      </c>
      <c r="M1562"/>
      <c r="N1562"/>
      <c r="O1562">
        <v>0.95</v>
      </c>
      <c r="P1562">
        <v>0.0</v>
      </c>
      <c r="Q1562">
        <v>6.2</v>
      </c>
      <c r="R1562"/>
      <c r="S1562"/>
      <c r="T1562"/>
      <c r="U1562"/>
      <c r="V1562"/>
      <c r="W1562">
        <v>18</v>
      </c>
    </row>
    <row r="1563" spans="1:23">
      <c r="A1563"/>
      <c r="B1563" t="s">
        <v>62</v>
      </c>
      <c r="C1563" t="s">
        <v>62</v>
      </c>
      <c r="D1563" t="s">
        <v>33</v>
      </c>
      <c r="E1563" t="s">
        <v>34</v>
      </c>
      <c r="F1563" t="str">
        <f>"0001876"</f>
        <v>0001876</v>
      </c>
      <c r="G1563">
        <v>1</v>
      </c>
      <c r="H1563" t="str">
        <f>"00000000"</f>
        <v>00000000</v>
      </c>
      <c r="I1563" t="s">
        <v>35</v>
      </c>
      <c r="J1563"/>
      <c r="K1563">
        <v>17.63</v>
      </c>
      <c r="L1563">
        <v>0.0</v>
      </c>
      <c r="M1563"/>
      <c r="N1563"/>
      <c r="O1563">
        <v>3.17</v>
      </c>
      <c r="P1563">
        <v>0.2</v>
      </c>
      <c r="Q1563">
        <v>21.0</v>
      </c>
      <c r="R1563"/>
      <c r="S1563"/>
      <c r="T1563"/>
      <c r="U1563"/>
      <c r="V1563"/>
      <c r="W1563">
        <v>18</v>
      </c>
    </row>
    <row r="1564" spans="1:23">
      <c r="A1564"/>
      <c r="B1564" t="s">
        <v>62</v>
      </c>
      <c r="C1564" t="s">
        <v>62</v>
      </c>
      <c r="D1564" t="s">
        <v>33</v>
      </c>
      <c r="E1564" t="s">
        <v>34</v>
      </c>
      <c r="F1564" t="str">
        <f>"0001877"</f>
        <v>0001877</v>
      </c>
      <c r="G1564">
        <v>1</v>
      </c>
      <c r="H1564" t="str">
        <f>"00000000"</f>
        <v>00000000</v>
      </c>
      <c r="I1564" t="s">
        <v>35</v>
      </c>
      <c r="J1564"/>
      <c r="K1564">
        <v>19.26</v>
      </c>
      <c r="L1564">
        <v>0.0</v>
      </c>
      <c r="M1564"/>
      <c r="N1564"/>
      <c r="O1564">
        <v>3.47</v>
      </c>
      <c r="P1564">
        <v>0.0</v>
      </c>
      <c r="Q1564">
        <v>22.72</v>
      </c>
      <c r="R1564"/>
      <c r="S1564"/>
      <c r="T1564"/>
      <c r="U1564"/>
      <c r="V1564"/>
      <c r="W1564">
        <v>18</v>
      </c>
    </row>
    <row r="1565" spans="1:23">
      <c r="A1565"/>
      <c r="B1565" t="s">
        <v>62</v>
      </c>
      <c r="C1565" t="s">
        <v>62</v>
      </c>
      <c r="D1565" t="s">
        <v>33</v>
      </c>
      <c r="E1565" t="s">
        <v>34</v>
      </c>
      <c r="F1565" t="str">
        <f>"0001878"</f>
        <v>0001878</v>
      </c>
      <c r="G1565">
        <v>1</v>
      </c>
      <c r="H1565" t="str">
        <f>"00000000"</f>
        <v>00000000</v>
      </c>
      <c r="I1565" t="s">
        <v>35</v>
      </c>
      <c r="J1565"/>
      <c r="K1565">
        <v>16.71</v>
      </c>
      <c r="L1565">
        <v>0.0</v>
      </c>
      <c r="M1565"/>
      <c r="N1565"/>
      <c r="O1565">
        <v>3.01</v>
      </c>
      <c r="P1565">
        <v>0.0</v>
      </c>
      <c r="Q1565">
        <v>19.71</v>
      </c>
      <c r="R1565"/>
      <c r="S1565"/>
      <c r="T1565"/>
      <c r="U1565"/>
      <c r="V1565"/>
      <c r="W1565">
        <v>18</v>
      </c>
    </row>
    <row r="1566" spans="1:23">
      <c r="A1566"/>
      <c r="B1566" t="s">
        <v>62</v>
      </c>
      <c r="C1566" t="s">
        <v>62</v>
      </c>
      <c r="D1566" t="s">
        <v>33</v>
      </c>
      <c r="E1566" t="s">
        <v>34</v>
      </c>
      <c r="F1566" t="str">
        <f>"0001879"</f>
        <v>0001879</v>
      </c>
      <c r="G1566">
        <v>1</v>
      </c>
      <c r="H1566" t="str">
        <f>"00000000"</f>
        <v>00000000</v>
      </c>
      <c r="I1566" t="s">
        <v>35</v>
      </c>
      <c r="J1566"/>
      <c r="K1566">
        <v>5.81</v>
      </c>
      <c r="L1566">
        <v>0.0</v>
      </c>
      <c r="M1566"/>
      <c r="N1566"/>
      <c r="O1566">
        <v>1.04</v>
      </c>
      <c r="P1566">
        <v>0.2</v>
      </c>
      <c r="Q1566">
        <v>7.05</v>
      </c>
      <c r="R1566"/>
      <c r="S1566"/>
      <c r="T1566"/>
      <c r="U1566"/>
      <c r="V1566"/>
      <c r="W1566">
        <v>18</v>
      </c>
    </row>
    <row r="1567" spans="1:23">
      <c r="A1567"/>
      <c r="B1567" t="s">
        <v>62</v>
      </c>
      <c r="C1567" t="s">
        <v>62</v>
      </c>
      <c r="D1567" t="s">
        <v>33</v>
      </c>
      <c r="E1567" t="s">
        <v>34</v>
      </c>
      <c r="F1567" t="str">
        <f>"0001880"</f>
        <v>0001880</v>
      </c>
      <c r="G1567">
        <v>1</v>
      </c>
      <c r="H1567" t="str">
        <f>"00000000"</f>
        <v>00000000</v>
      </c>
      <c r="I1567" t="s">
        <v>35</v>
      </c>
      <c r="J1567"/>
      <c r="K1567">
        <v>27.57</v>
      </c>
      <c r="L1567">
        <v>0.0</v>
      </c>
      <c r="M1567"/>
      <c r="N1567"/>
      <c r="O1567">
        <v>4.96</v>
      </c>
      <c r="P1567">
        <v>0.2</v>
      </c>
      <c r="Q1567">
        <v>32.73</v>
      </c>
      <c r="R1567"/>
      <c r="S1567"/>
      <c r="T1567"/>
      <c r="U1567"/>
      <c r="V1567"/>
      <c r="W1567">
        <v>18</v>
      </c>
    </row>
    <row r="1568" spans="1:23">
      <c r="A1568"/>
      <c r="B1568" t="s">
        <v>62</v>
      </c>
      <c r="C1568" t="s">
        <v>62</v>
      </c>
      <c r="D1568" t="s">
        <v>33</v>
      </c>
      <c r="E1568" t="s">
        <v>34</v>
      </c>
      <c r="F1568" t="str">
        <f>"0001881"</f>
        <v>0001881</v>
      </c>
      <c r="G1568">
        <v>1</v>
      </c>
      <c r="H1568" t="str">
        <f>"00000000"</f>
        <v>00000000</v>
      </c>
      <c r="I1568" t="s">
        <v>35</v>
      </c>
      <c r="J1568"/>
      <c r="K1568">
        <v>1.3</v>
      </c>
      <c r="L1568">
        <v>0.0</v>
      </c>
      <c r="M1568"/>
      <c r="N1568"/>
      <c r="O1568">
        <v>0.23</v>
      </c>
      <c r="P1568">
        <v>0.0</v>
      </c>
      <c r="Q1568">
        <v>1.53</v>
      </c>
      <c r="R1568"/>
      <c r="S1568"/>
      <c r="T1568"/>
      <c r="U1568"/>
      <c r="V1568"/>
      <c r="W1568">
        <v>18</v>
      </c>
    </row>
    <row r="1569" spans="1:23">
      <c r="A1569"/>
      <c r="B1569" t="s">
        <v>62</v>
      </c>
      <c r="C1569" t="s">
        <v>62</v>
      </c>
      <c r="D1569" t="s">
        <v>33</v>
      </c>
      <c r="E1569" t="s">
        <v>34</v>
      </c>
      <c r="F1569" t="str">
        <f>"0001882"</f>
        <v>0001882</v>
      </c>
      <c r="G1569">
        <v>1</v>
      </c>
      <c r="H1569" t="str">
        <f>"00000000"</f>
        <v>00000000</v>
      </c>
      <c r="I1569" t="s">
        <v>35</v>
      </c>
      <c r="J1569"/>
      <c r="K1569">
        <v>6.95</v>
      </c>
      <c r="L1569">
        <v>0.0</v>
      </c>
      <c r="M1569"/>
      <c r="N1569"/>
      <c r="O1569">
        <v>1.25</v>
      </c>
      <c r="P1569">
        <v>0.0</v>
      </c>
      <c r="Q1569">
        <v>8.2</v>
      </c>
      <c r="R1569"/>
      <c r="S1569"/>
      <c r="T1569"/>
      <c r="U1569"/>
      <c r="V1569"/>
      <c r="W1569">
        <v>18</v>
      </c>
    </row>
    <row r="1570" spans="1:23">
      <c r="A1570"/>
      <c r="B1570" t="s">
        <v>62</v>
      </c>
      <c r="C1570" t="s">
        <v>62</v>
      </c>
      <c r="D1570" t="s">
        <v>33</v>
      </c>
      <c r="E1570" t="s">
        <v>34</v>
      </c>
      <c r="F1570" t="str">
        <f>"0001883"</f>
        <v>0001883</v>
      </c>
      <c r="G1570">
        <v>1</v>
      </c>
      <c r="H1570" t="str">
        <f>"00000000"</f>
        <v>00000000</v>
      </c>
      <c r="I1570" t="s">
        <v>35</v>
      </c>
      <c r="J1570"/>
      <c r="K1570">
        <v>14.24</v>
      </c>
      <c r="L1570">
        <v>0.0</v>
      </c>
      <c r="M1570"/>
      <c r="N1570"/>
      <c r="O1570">
        <v>2.56</v>
      </c>
      <c r="P1570">
        <v>0.2</v>
      </c>
      <c r="Q1570">
        <v>17.0</v>
      </c>
      <c r="R1570"/>
      <c r="S1570"/>
      <c r="T1570"/>
      <c r="U1570"/>
      <c r="V1570"/>
      <c r="W1570">
        <v>18</v>
      </c>
    </row>
    <row r="1571" spans="1:23">
      <c r="A1571"/>
      <c r="B1571" t="s">
        <v>62</v>
      </c>
      <c r="C1571" t="s">
        <v>62</v>
      </c>
      <c r="D1571" t="s">
        <v>33</v>
      </c>
      <c r="E1571" t="s">
        <v>34</v>
      </c>
      <c r="F1571" t="str">
        <f>"0001884"</f>
        <v>0001884</v>
      </c>
      <c r="G1571">
        <v>1</v>
      </c>
      <c r="H1571" t="str">
        <f>"00000000"</f>
        <v>00000000</v>
      </c>
      <c r="I1571" t="s">
        <v>35</v>
      </c>
      <c r="J1571"/>
      <c r="K1571">
        <v>1.11</v>
      </c>
      <c r="L1571">
        <v>0.0</v>
      </c>
      <c r="M1571"/>
      <c r="N1571"/>
      <c r="O1571">
        <v>0.2</v>
      </c>
      <c r="P1571">
        <v>0.0</v>
      </c>
      <c r="Q1571">
        <v>1.31</v>
      </c>
      <c r="R1571"/>
      <c r="S1571"/>
      <c r="T1571"/>
      <c r="U1571"/>
      <c r="V1571"/>
      <c r="W1571">
        <v>18</v>
      </c>
    </row>
    <row r="1572" spans="1:23">
      <c r="A1572"/>
      <c r="B1572" t="s">
        <v>62</v>
      </c>
      <c r="C1572" t="s">
        <v>62</v>
      </c>
      <c r="D1572" t="s">
        <v>33</v>
      </c>
      <c r="E1572" t="s">
        <v>34</v>
      </c>
      <c r="F1572" t="str">
        <f>"0001885"</f>
        <v>0001885</v>
      </c>
      <c r="G1572">
        <v>1</v>
      </c>
      <c r="H1572" t="str">
        <f>"00000000"</f>
        <v>00000000</v>
      </c>
      <c r="I1572" t="s">
        <v>35</v>
      </c>
      <c r="J1572"/>
      <c r="K1572">
        <v>5.0</v>
      </c>
      <c r="L1572">
        <v>0.0</v>
      </c>
      <c r="M1572"/>
      <c r="N1572"/>
      <c r="O1572">
        <v>0.9</v>
      </c>
      <c r="P1572">
        <v>0.0</v>
      </c>
      <c r="Q1572">
        <v>5.9</v>
      </c>
      <c r="R1572"/>
      <c r="S1572"/>
      <c r="T1572"/>
      <c r="U1572"/>
      <c r="V1572"/>
      <c r="W1572">
        <v>18</v>
      </c>
    </row>
    <row r="1573" spans="1:23">
      <c r="A1573"/>
      <c r="B1573" t="s">
        <v>62</v>
      </c>
      <c r="C1573" t="s">
        <v>62</v>
      </c>
      <c r="D1573" t="s">
        <v>33</v>
      </c>
      <c r="E1573" t="s">
        <v>34</v>
      </c>
      <c r="F1573" t="str">
        <f>"0001886"</f>
        <v>0001886</v>
      </c>
      <c r="G1573">
        <v>1</v>
      </c>
      <c r="H1573" t="str">
        <f>"00000000"</f>
        <v>00000000</v>
      </c>
      <c r="I1573" t="s">
        <v>35</v>
      </c>
      <c r="J1573"/>
      <c r="K1573">
        <v>0.59</v>
      </c>
      <c r="L1573">
        <v>0.0</v>
      </c>
      <c r="M1573"/>
      <c r="N1573"/>
      <c r="O1573">
        <v>0.11</v>
      </c>
      <c r="P1573">
        <v>0.0</v>
      </c>
      <c r="Q1573">
        <v>0.7</v>
      </c>
      <c r="R1573"/>
      <c r="S1573"/>
      <c r="T1573"/>
      <c r="U1573"/>
      <c r="V1573"/>
      <c r="W1573">
        <v>18</v>
      </c>
    </row>
    <row r="1574" spans="1:23">
      <c r="A1574"/>
      <c r="B1574" t="s">
        <v>62</v>
      </c>
      <c r="C1574" t="s">
        <v>62</v>
      </c>
      <c r="D1574" t="s">
        <v>33</v>
      </c>
      <c r="E1574" t="s">
        <v>34</v>
      </c>
      <c r="F1574" t="str">
        <f>"0001887"</f>
        <v>0001887</v>
      </c>
      <c r="G1574">
        <v>1</v>
      </c>
      <c r="H1574" t="str">
        <f>"00000000"</f>
        <v>00000000</v>
      </c>
      <c r="I1574" t="s">
        <v>35</v>
      </c>
      <c r="J1574"/>
      <c r="K1574">
        <v>20.89</v>
      </c>
      <c r="L1574">
        <v>0.0</v>
      </c>
      <c r="M1574"/>
      <c r="N1574"/>
      <c r="O1574">
        <v>3.76</v>
      </c>
      <c r="P1574">
        <v>0.0</v>
      </c>
      <c r="Q1574">
        <v>24.65</v>
      </c>
      <c r="R1574"/>
      <c r="S1574"/>
      <c r="T1574"/>
      <c r="U1574"/>
      <c r="V1574"/>
      <c r="W1574">
        <v>18</v>
      </c>
    </row>
    <row r="1575" spans="1:23">
      <c r="A1575"/>
      <c r="B1575" t="s">
        <v>62</v>
      </c>
      <c r="C1575" t="s">
        <v>62</v>
      </c>
      <c r="D1575" t="s">
        <v>33</v>
      </c>
      <c r="E1575" t="s">
        <v>34</v>
      </c>
      <c r="F1575" t="str">
        <f>"0001888"</f>
        <v>0001888</v>
      </c>
      <c r="G1575">
        <v>1</v>
      </c>
      <c r="H1575" t="str">
        <f>"00000000"</f>
        <v>00000000</v>
      </c>
      <c r="I1575" t="s">
        <v>35</v>
      </c>
      <c r="J1575"/>
      <c r="K1575">
        <v>20.16</v>
      </c>
      <c r="L1575">
        <v>0.0</v>
      </c>
      <c r="M1575"/>
      <c r="N1575"/>
      <c r="O1575">
        <v>3.63</v>
      </c>
      <c r="P1575">
        <v>0.0</v>
      </c>
      <c r="Q1575">
        <v>23.79</v>
      </c>
      <c r="R1575"/>
      <c r="S1575"/>
      <c r="T1575"/>
      <c r="U1575"/>
      <c r="V1575"/>
      <c r="W1575">
        <v>18</v>
      </c>
    </row>
    <row r="1576" spans="1:23">
      <c r="A1576"/>
      <c r="B1576" t="s">
        <v>62</v>
      </c>
      <c r="C1576" t="s">
        <v>62</v>
      </c>
      <c r="D1576" t="s">
        <v>33</v>
      </c>
      <c r="E1576" t="s">
        <v>34</v>
      </c>
      <c r="F1576" t="str">
        <f>"0001889"</f>
        <v>0001889</v>
      </c>
      <c r="G1576">
        <v>1</v>
      </c>
      <c r="H1576" t="str">
        <f>"00000000"</f>
        <v>00000000</v>
      </c>
      <c r="I1576" t="s">
        <v>35</v>
      </c>
      <c r="J1576"/>
      <c r="K1576">
        <v>14.07</v>
      </c>
      <c r="L1576">
        <v>0.0</v>
      </c>
      <c r="M1576"/>
      <c r="N1576"/>
      <c r="O1576">
        <v>2.53</v>
      </c>
      <c r="P1576">
        <v>0.2</v>
      </c>
      <c r="Q1576">
        <v>16.8</v>
      </c>
      <c r="R1576"/>
      <c r="S1576"/>
      <c r="T1576"/>
      <c r="U1576"/>
      <c r="V1576"/>
      <c r="W1576">
        <v>18</v>
      </c>
    </row>
    <row r="1577" spans="1:23">
      <c r="A1577"/>
      <c r="B1577" t="s">
        <v>62</v>
      </c>
      <c r="C1577" t="s">
        <v>62</v>
      </c>
      <c r="D1577" t="s">
        <v>33</v>
      </c>
      <c r="E1577" t="s">
        <v>34</v>
      </c>
      <c r="F1577" t="str">
        <f>"0001890"</f>
        <v>0001890</v>
      </c>
      <c r="G1577">
        <v>1</v>
      </c>
      <c r="H1577" t="str">
        <f>"00000000"</f>
        <v>00000000</v>
      </c>
      <c r="I1577" t="s">
        <v>35</v>
      </c>
      <c r="J1577"/>
      <c r="K1577">
        <v>8.39</v>
      </c>
      <c r="L1577">
        <v>0.0</v>
      </c>
      <c r="M1577"/>
      <c r="N1577"/>
      <c r="O1577">
        <v>1.51</v>
      </c>
      <c r="P1577">
        <v>0.0</v>
      </c>
      <c r="Q1577">
        <v>9.9</v>
      </c>
      <c r="R1577"/>
      <c r="S1577"/>
      <c r="T1577"/>
      <c r="U1577"/>
      <c r="V1577"/>
      <c r="W1577">
        <v>18</v>
      </c>
    </row>
    <row r="1578" spans="1:23">
      <c r="A1578"/>
      <c r="B1578" t="s">
        <v>62</v>
      </c>
      <c r="C1578" t="s">
        <v>62</v>
      </c>
      <c r="D1578" t="s">
        <v>33</v>
      </c>
      <c r="E1578" t="s">
        <v>34</v>
      </c>
      <c r="F1578" t="str">
        <f>"0001891"</f>
        <v>0001891</v>
      </c>
      <c r="G1578">
        <v>1</v>
      </c>
      <c r="H1578" t="str">
        <f>"00000000"</f>
        <v>00000000</v>
      </c>
      <c r="I1578" t="s">
        <v>35</v>
      </c>
      <c r="J1578"/>
      <c r="K1578">
        <v>15.13</v>
      </c>
      <c r="L1578">
        <v>0.0</v>
      </c>
      <c r="M1578"/>
      <c r="N1578"/>
      <c r="O1578">
        <v>2.72</v>
      </c>
      <c r="P1578">
        <v>0.0</v>
      </c>
      <c r="Q1578">
        <v>17.85</v>
      </c>
      <c r="R1578"/>
      <c r="S1578"/>
      <c r="T1578"/>
      <c r="U1578"/>
      <c r="V1578"/>
      <c r="W1578">
        <v>18</v>
      </c>
    </row>
    <row r="1579" spans="1:23">
      <c r="A1579"/>
      <c r="B1579" t="s">
        <v>62</v>
      </c>
      <c r="C1579" t="s">
        <v>62</v>
      </c>
      <c r="D1579" t="s">
        <v>33</v>
      </c>
      <c r="E1579" t="s">
        <v>34</v>
      </c>
      <c r="F1579" t="str">
        <f>"0001892"</f>
        <v>0001892</v>
      </c>
      <c r="G1579">
        <v>1</v>
      </c>
      <c r="H1579" t="str">
        <f>"00000000"</f>
        <v>00000000</v>
      </c>
      <c r="I1579" t="s">
        <v>35</v>
      </c>
      <c r="J1579"/>
      <c r="K1579">
        <v>9.08</v>
      </c>
      <c r="L1579">
        <v>0.0</v>
      </c>
      <c r="M1579"/>
      <c r="N1579"/>
      <c r="O1579">
        <v>1.64</v>
      </c>
      <c r="P1579">
        <v>0.2</v>
      </c>
      <c r="Q1579">
        <v>10.92</v>
      </c>
      <c r="R1579"/>
      <c r="S1579"/>
      <c r="T1579"/>
      <c r="U1579"/>
      <c r="V1579"/>
      <c r="W1579">
        <v>18</v>
      </c>
    </row>
    <row r="1580" spans="1:23">
      <c r="A1580"/>
      <c r="B1580" t="s">
        <v>62</v>
      </c>
      <c r="C1580" t="s">
        <v>62</v>
      </c>
      <c r="D1580" t="s">
        <v>33</v>
      </c>
      <c r="E1580" t="s">
        <v>34</v>
      </c>
      <c r="F1580" t="str">
        <f>"0001893"</f>
        <v>0001893</v>
      </c>
      <c r="G1580">
        <v>1</v>
      </c>
      <c r="H1580" t="str">
        <f>"00000000"</f>
        <v>00000000</v>
      </c>
      <c r="I1580" t="s">
        <v>35</v>
      </c>
      <c r="J1580"/>
      <c r="K1580">
        <v>4.78</v>
      </c>
      <c r="L1580">
        <v>0.0</v>
      </c>
      <c r="M1580"/>
      <c r="N1580"/>
      <c r="O1580">
        <v>0.86</v>
      </c>
      <c r="P1580">
        <v>0.0</v>
      </c>
      <c r="Q1580">
        <v>5.64</v>
      </c>
      <c r="R1580"/>
      <c r="S1580"/>
      <c r="T1580"/>
      <c r="U1580"/>
      <c r="V1580"/>
      <c r="W1580">
        <v>18</v>
      </c>
    </row>
    <row r="1581" spans="1:23">
      <c r="A1581"/>
      <c r="B1581" t="s">
        <v>62</v>
      </c>
      <c r="C1581" t="s">
        <v>62</v>
      </c>
      <c r="D1581" t="s">
        <v>33</v>
      </c>
      <c r="E1581" t="s">
        <v>34</v>
      </c>
      <c r="F1581" t="str">
        <f>"0001894"</f>
        <v>0001894</v>
      </c>
      <c r="G1581">
        <v>1</v>
      </c>
      <c r="H1581" t="str">
        <f>"00000000"</f>
        <v>00000000</v>
      </c>
      <c r="I1581" t="s">
        <v>35</v>
      </c>
      <c r="J1581"/>
      <c r="K1581">
        <v>1.53</v>
      </c>
      <c r="L1581">
        <v>0.0</v>
      </c>
      <c r="M1581"/>
      <c r="N1581"/>
      <c r="O1581">
        <v>0.27</v>
      </c>
      <c r="P1581">
        <v>0.0</v>
      </c>
      <c r="Q1581">
        <v>1.8</v>
      </c>
      <c r="R1581"/>
      <c r="S1581"/>
      <c r="T1581"/>
      <c r="U1581"/>
      <c r="V1581"/>
      <c r="W1581">
        <v>18</v>
      </c>
    </row>
    <row r="1582" spans="1:23">
      <c r="A1582"/>
      <c r="B1582" t="s">
        <v>62</v>
      </c>
      <c r="C1582" t="s">
        <v>62</v>
      </c>
      <c r="D1582" t="s">
        <v>33</v>
      </c>
      <c r="E1582" t="s">
        <v>34</v>
      </c>
      <c r="F1582" t="str">
        <f>"0001895"</f>
        <v>0001895</v>
      </c>
      <c r="G1582">
        <v>1</v>
      </c>
      <c r="H1582" t="str">
        <f>"00000000"</f>
        <v>00000000</v>
      </c>
      <c r="I1582" t="s">
        <v>35</v>
      </c>
      <c r="J1582"/>
      <c r="K1582">
        <v>24.96</v>
      </c>
      <c r="L1582">
        <v>0.0</v>
      </c>
      <c r="M1582"/>
      <c r="N1582"/>
      <c r="O1582">
        <v>4.49</v>
      </c>
      <c r="P1582">
        <v>0.2</v>
      </c>
      <c r="Q1582">
        <v>29.65</v>
      </c>
      <c r="R1582"/>
      <c r="S1582"/>
      <c r="T1582"/>
      <c r="U1582"/>
      <c r="V1582"/>
      <c r="W1582">
        <v>18</v>
      </c>
    </row>
    <row r="1583" spans="1:23">
      <c r="A1583"/>
      <c r="B1583" t="s">
        <v>62</v>
      </c>
      <c r="C1583" t="s">
        <v>62</v>
      </c>
      <c r="D1583" t="s">
        <v>33</v>
      </c>
      <c r="E1583" t="s">
        <v>34</v>
      </c>
      <c r="F1583" t="str">
        <f>"0001896"</f>
        <v>0001896</v>
      </c>
      <c r="G1583">
        <v>1</v>
      </c>
      <c r="H1583" t="str">
        <f>"00000000"</f>
        <v>00000000</v>
      </c>
      <c r="I1583" t="s">
        <v>35</v>
      </c>
      <c r="J1583"/>
      <c r="K1583">
        <v>31.73</v>
      </c>
      <c r="L1583">
        <v>0.0</v>
      </c>
      <c r="M1583"/>
      <c r="N1583"/>
      <c r="O1583">
        <v>5.71</v>
      </c>
      <c r="P1583">
        <v>0.2</v>
      </c>
      <c r="Q1583">
        <v>37.64</v>
      </c>
      <c r="R1583"/>
      <c r="S1583"/>
      <c r="T1583"/>
      <c r="U1583"/>
      <c r="V1583"/>
      <c r="W1583">
        <v>18</v>
      </c>
    </row>
    <row r="1584" spans="1:23">
      <c r="A1584"/>
      <c r="B1584" t="s">
        <v>62</v>
      </c>
      <c r="C1584" t="s">
        <v>62</v>
      </c>
      <c r="D1584" t="s">
        <v>33</v>
      </c>
      <c r="E1584" t="s">
        <v>34</v>
      </c>
      <c r="F1584" t="str">
        <f>"0001897"</f>
        <v>0001897</v>
      </c>
      <c r="G1584">
        <v>1</v>
      </c>
      <c r="H1584" t="str">
        <f>"00000000"</f>
        <v>00000000</v>
      </c>
      <c r="I1584" t="s">
        <v>35</v>
      </c>
      <c r="J1584"/>
      <c r="K1584">
        <v>10.77</v>
      </c>
      <c r="L1584">
        <v>0.0</v>
      </c>
      <c r="M1584"/>
      <c r="N1584"/>
      <c r="O1584">
        <v>1.94</v>
      </c>
      <c r="P1584">
        <v>0.2</v>
      </c>
      <c r="Q1584">
        <v>12.91</v>
      </c>
      <c r="R1584"/>
      <c r="S1584"/>
      <c r="T1584"/>
      <c r="U1584"/>
      <c r="V1584"/>
      <c r="W1584">
        <v>18</v>
      </c>
    </row>
    <row r="1585" spans="1:23">
      <c r="A1585"/>
      <c r="B1585" t="s">
        <v>62</v>
      </c>
      <c r="C1585" t="s">
        <v>62</v>
      </c>
      <c r="D1585" t="s">
        <v>33</v>
      </c>
      <c r="E1585" t="s">
        <v>34</v>
      </c>
      <c r="F1585" t="str">
        <f>"0001898"</f>
        <v>0001898</v>
      </c>
      <c r="G1585">
        <v>1</v>
      </c>
      <c r="H1585" t="str">
        <f>"00000000"</f>
        <v>00000000</v>
      </c>
      <c r="I1585" t="s">
        <v>35</v>
      </c>
      <c r="J1585"/>
      <c r="K1585">
        <v>32.46</v>
      </c>
      <c r="L1585">
        <v>0.0</v>
      </c>
      <c r="M1585"/>
      <c r="N1585"/>
      <c r="O1585">
        <v>5.84</v>
      </c>
      <c r="P1585">
        <v>0.2</v>
      </c>
      <c r="Q1585">
        <v>38.5</v>
      </c>
      <c r="R1585"/>
      <c r="S1585"/>
      <c r="T1585"/>
      <c r="U1585"/>
      <c r="V1585"/>
      <c r="W1585">
        <v>18</v>
      </c>
    </row>
    <row r="1586" spans="1:23">
      <c r="A1586"/>
      <c r="B1586" t="s">
        <v>62</v>
      </c>
      <c r="C1586" t="s">
        <v>62</v>
      </c>
      <c r="D1586" t="s">
        <v>33</v>
      </c>
      <c r="E1586" t="s">
        <v>34</v>
      </c>
      <c r="F1586" t="str">
        <f>"0001899"</f>
        <v>0001899</v>
      </c>
      <c r="G1586">
        <v>1</v>
      </c>
      <c r="H1586" t="str">
        <f>"00000000"</f>
        <v>00000000</v>
      </c>
      <c r="I1586" t="s">
        <v>35</v>
      </c>
      <c r="J1586"/>
      <c r="K1586">
        <v>7.46</v>
      </c>
      <c r="L1586">
        <v>0.0</v>
      </c>
      <c r="M1586"/>
      <c r="N1586"/>
      <c r="O1586">
        <v>1.34</v>
      </c>
      <c r="P1586">
        <v>0.0</v>
      </c>
      <c r="Q1586">
        <v>8.8</v>
      </c>
      <c r="R1586"/>
      <c r="S1586"/>
      <c r="T1586"/>
      <c r="U1586"/>
      <c r="V1586"/>
      <c r="W1586">
        <v>18</v>
      </c>
    </row>
    <row r="1587" spans="1:23">
      <c r="A1587"/>
      <c r="B1587" t="s">
        <v>62</v>
      </c>
      <c r="C1587" t="s">
        <v>62</v>
      </c>
      <c r="D1587" t="s">
        <v>33</v>
      </c>
      <c r="E1587" t="s">
        <v>34</v>
      </c>
      <c r="F1587" t="str">
        <f>"0001900"</f>
        <v>0001900</v>
      </c>
      <c r="G1587">
        <v>1</v>
      </c>
      <c r="H1587" t="str">
        <f>"00000000"</f>
        <v>00000000</v>
      </c>
      <c r="I1587" t="s">
        <v>35</v>
      </c>
      <c r="J1587"/>
      <c r="K1587">
        <v>3.76</v>
      </c>
      <c r="L1587">
        <v>0.0</v>
      </c>
      <c r="M1587"/>
      <c r="N1587"/>
      <c r="O1587">
        <v>0.68</v>
      </c>
      <c r="P1587">
        <v>0.2</v>
      </c>
      <c r="Q1587">
        <v>4.64</v>
      </c>
      <c r="R1587"/>
      <c r="S1587"/>
      <c r="T1587"/>
      <c r="U1587"/>
      <c r="V1587"/>
      <c r="W1587">
        <v>18</v>
      </c>
    </row>
    <row r="1588" spans="1:23">
      <c r="A1588"/>
      <c r="B1588" t="s">
        <v>62</v>
      </c>
      <c r="C1588" t="s">
        <v>62</v>
      </c>
      <c r="D1588" t="s">
        <v>33</v>
      </c>
      <c r="E1588" t="s">
        <v>34</v>
      </c>
      <c r="F1588" t="str">
        <f>"0001901"</f>
        <v>0001901</v>
      </c>
      <c r="G1588">
        <v>1</v>
      </c>
      <c r="H1588" t="str">
        <f>"00000000"</f>
        <v>00000000</v>
      </c>
      <c r="I1588" t="s">
        <v>35</v>
      </c>
      <c r="J1588"/>
      <c r="K1588">
        <v>3.73</v>
      </c>
      <c r="L1588">
        <v>0.0</v>
      </c>
      <c r="M1588"/>
      <c r="N1588"/>
      <c r="O1588">
        <v>0.67</v>
      </c>
      <c r="P1588">
        <v>0.0</v>
      </c>
      <c r="Q1588">
        <v>4.4</v>
      </c>
      <c r="R1588"/>
      <c r="S1588"/>
      <c r="T1588"/>
      <c r="U1588"/>
      <c r="V1588"/>
      <c r="W1588">
        <v>18</v>
      </c>
    </row>
    <row r="1589" spans="1:23">
      <c r="A1589"/>
      <c r="B1589" t="s">
        <v>62</v>
      </c>
      <c r="C1589" t="s">
        <v>62</v>
      </c>
      <c r="D1589" t="s">
        <v>33</v>
      </c>
      <c r="E1589" t="s">
        <v>34</v>
      </c>
      <c r="F1589" t="str">
        <f>"0001902"</f>
        <v>0001902</v>
      </c>
      <c r="G1589">
        <v>1</v>
      </c>
      <c r="H1589" t="str">
        <f>"00000000"</f>
        <v>00000000</v>
      </c>
      <c r="I1589" t="s">
        <v>35</v>
      </c>
      <c r="J1589"/>
      <c r="K1589">
        <v>3.22</v>
      </c>
      <c r="L1589">
        <v>0.0</v>
      </c>
      <c r="M1589"/>
      <c r="N1589"/>
      <c r="O1589">
        <v>0.58</v>
      </c>
      <c r="P1589">
        <v>0.0</v>
      </c>
      <c r="Q1589">
        <v>3.81</v>
      </c>
      <c r="R1589"/>
      <c r="S1589"/>
      <c r="T1589"/>
      <c r="U1589"/>
      <c r="V1589"/>
      <c r="W1589">
        <v>18</v>
      </c>
    </row>
    <row r="1590" spans="1:23">
      <c r="A1590"/>
      <c r="B1590" t="s">
        <v>62</v>
      </c>
      <c r="C1590" t="s">
        <v>62</v>
      </c>
      <c r="D1590" t="s">
        <v>33</v>
      </c>
      <c r="E1590" t="s">
        <v>34</v>
      </c>
      <c r="F1590" t="str">
        <f>"0001903"</f>
        <v>0001903</v>
      </c>
      <c r="G1590">
        <v>1</v>
      </c>
      <c r="H1590" t="str">
        <f>"00000000"</f>
        <v>00000000</v>
      </c>
      <c r="I1590" t="s">
        <v>35</v>
      </c>
      <c r="J1590"/>
      <c r="K1590">
        <v>15.55</v>
      </c>
      <c r="L1590">
        <v>0.0</v>
      </c>
      <c r="M1590"/>
      <c r="N1590"/>
      <c r="O1590">
        <v>2.8</v>
      </c>
      <c r="P1590">
        <v>0.0</v>
      </c>
      <c r="Q1590">
        <v>18.35</v>
      </c>
      <c r="R1590"/>
      <c r="S1590"/>
      <c r="T1590"/>
      <c r="U1590"/>
      <c r="V1590"/>
      <c r="W1590">
        <v>18</v>
      </c>
    </row>
    <row r="1591" spans="1:23">
      <c r="A1591"/>
      <c r="B1591" t="s">
        <v>62</v>
      </c>
      <c r="C1591" t="s">
        <v>62</v>
      </c>
      <c r="D1591" t="s">
        <v>33</v>
      </c>
      <c r="E1591" t="s">
        <v>34</v>
      </c>
      <c r="F1591" t="str">
        <f>"0001904"</f>
        <v>0001904</v>
      </c>
      <c r="G1591">
        <v>1</v>
      </c>
      <c r="H1591" t="str">
        <f>"00000000"</f>
        <v>00000000</v>
      </c>
      <c r="I1591" t="s">
        <v>35</v>
      </c>
      <c r="J1591"/>
      <c r="K1591">
        <v>6.32</v>
      </c>
      <c r="L1591">
        <v>0.0</v>
      </c>
      <c r="M1591"/>
      <c r="N1591"/>
      <c r="O1591">
        <v>1.14</v>
      </c>
      <c r="P1591">
        <v>0.2</v>
      </c>
      <c r="Q1591">
        <v>7.65</v>
      </c>
      <c r="R1591"/>
      <c r="S1591"/>
      <c r="T1591"/>
      <c r="U1591"/>
      <c r="V1591"/>
      <c r="W1591">
        <v>18</v>
      </c>
    </row>
    <row r="1592" spans="1:23">
      <c r="A1592"/>
      <c r="B1592" t="s">
        <v>62</v>
      </c>
      <c r="C1592" t="s">
        <v>62</v>
      </c>
      <c r="D1592" t="s">
        <v>33</v>
      </c>
      <c r="E1592" t="s">
        <v>34</v>
      </c>
      <c r="F1592" t="str">
        <f>"0001905"</f>
        <v>0001905</v>
      </c>
      <c r="G1592">
        <v>1</v>
      </c>
      <c r="H1592" t="str">
        <f>"00000000"</f>
        <v>00000000</v>
      </c>
      <c r="I1592" t="s">
        <v>35</v>
      </c>
      <c r="J1592"/>
      <c r="K1592">
        <v>8.03</v>
      </c>
      <c r="L1592">
        <v>0.0</v>
      </c>
      <c r="M1592"/>
      <c r="N1592"/>
      <c r="O1592">
        <v>1.45</v>
      </c>
      <c r="P1592">
        <v>0.2</v>
      </c>
      <c r="Q1592">
        <v>9.68</v>
      </c>
      <c r="R1592"/>
      <c r="S1592"/>
      <c r="T1592"/>
      <c r="U1592"/>
      <c r="V1592"/>
      <c r="W1592">
        <v>18</v>
      </c>
    </row>
    <row r="1593" spans="1:23">
      <c r="A1593"/>
      <c r="B1593" t="s">
        <v>62</v>
      </c>
      <c r="C1593" t="s">
        <v>62</v>
      </c>
      <c r="D1593" t="s">
        <v>33</v>
      </c>
      <c r="E1593" t="s">
        <v>34</v>
      </c>
      <c r="F1593" t="str">
        <f>"0001906"</f>
        <v>0001906</v>
      </c>
      <c r="G1593">
        <v>1</v>
      </c>
      <c r="H1593" t="str">
        <f>"00000000"</f>
        <v>00000000</v>
      </c>
      <c r="I1593" t="s">
        <v>35</v>
      </c>
      <c r="J1593"/>
      <c r="K1593">
        <v>9.05</v>
      </c>
      <c r="L1593">
        <v>0.0</v>
      </c>
      <c r="M1593"/>
      <c r="N1593"/>
      <c r="O1593">
        <v>1.63</v>
      </c>
      <c r="P1593">
        <v>0.2</v>
      </c>
      <c r="Q1593">
        <v>10.88</v>
      </c>
      <c r="R1593"/>
      <c r="S1593"/>
      <c r="T1593"/>
      <c r="U1593"/>
      <c r="V1593"/>
      <c r="W1593">
        <v>18</v>
      </c>
    </row>
    <row r="1594" spans="1:23">
      <c r="A1594"/>
      <c r="B1594" t="s">
        <v>62</v>
      </c>
      <c r="C1594" t="s">
        <v>62</v>
      </c>
      <c r="D1594" t="s">
        <v>33</v>
      </c>
      <c r="E1594" t="s">
        <v>34</v>
      </c>
      <c r="F1594" t="str">
        <f>"0001907"</f>
        <v>0001907</v>
      </c>
      <c r="G1594">
        <v>1</v>
      </c>
      <c r="H1594" t="str">
        <f>"00000000"</f>
        <v>00000000</v>
      </c>
      <c r="I1594" t="s">
        <v>35</v>
      </c>
      <c r="J1594"/>
      <c r="K1594">
        <v>10.17</v>
      </c>
      <c r="L1594">
        <v>0.0</v>
      </c>
      <c r="M1594"/>
      <c r="N1594"/>
      <c r="O1594">
        <v>1.83</v>
      </c>
      <c r="P1594">
        <v>0.0</v>
      </c>
      <c r="Q1594">
        <v>12.0</v>
      </c>
      <c r="R1594"/>
      <c r="S1594"/>
      <c r="T1594"/>
      <c r="U1594"/>
      <c r="V1594"/>
      <c r="W1594">
        <v>18</v>
      </c>
    </row>
    <row r="1595" spans="1:23">
      <c r="A1595"/>
      <c r="B1595" t="s">
        <v>62</v>
      </c>
      <c r="C1595" t="s">
        <v>62</v>
      </c>
      <c r="D1595" t="s">
        <v>33</v>
      </c>
      <c r="E1595" t="s">
        <v>34</v>
      </c>
      <c r="F1595" t="str">
        <f>"0001908"</f>
        <v>0001908</v>
      </c>
      <c r="G1595">
        <v>1</v>
      </c>
      <c r="H1595" t="str">
        <f>"00000000"</f>
        <v>00000000</v>
      </c>
      <c r="I1595" t="s">
        <v>35</v>
      </c>
      <c r="J1595"/>
      <c r="K1595">
        <v>3.05</v>
      </c>
      <c r="L1595">
        <v>0.0</v>
      </c>
      <c r="M1595"/>
      <c r="N1595"/>
      <c r="O1595">
        <v>0.55</v>
      </c>
      <c r="P1595">
        <v>0.0</v>
      </c>
      <c r="Q1595">
        <v>3.59</v>
      </c>
      <c r="R1595"/>
      <c r="S1595"/>
      <c r="T1595"/>
      <c r="U1595"/>
      <c r="V1595"/>
      <c r="W1595">
        <v>18</v>
      </c>
    </row>
    <row r="1596" spans="1:23">
      <c r="A1596"/>
      <c r="B1596" t="s">
        <v>62</v>
      </c>
      <c r="C1596" t="s">
        <v>62</v>
      </c>
      <c r="D1596" t="s">
        <v>33</v>
      </c>
      <c r="E1596" t="s">
        <v>34</v>
      </c>
      <c r="F1596" t="str">
        <f>"0001909"</f>
        <v>0001909</v>
      </c>
      <c r="G1596">
        <v>1</v>
      </c>
      <c r="H1596" t="str">
        <f>"00000000"</f>
        <v>00000000</v>
      </c>
      <c r="I1596" t="s">
        <v>35</v>
      </c>
      <c r="J1596"/>
      <c r="K1596">
        <v>7.63</v>
      </c>
      <c r="L1596">
        <v>0.0</v>
      </c>
      <c r="M1596"/>
      <c r="N1596"/>
      <c r="O1596">
        <v>1.37</v>
      </c>
      <c r="P1596">
        <v>0.0</v>
      </c>
      <c r="Q1596">
        <v>9.0</v>
      </c>
      <c r="R1596"/>
      <c r="S1596"/>
      <c r="T1596"/>
      <c r="U1596"/>
      <c r="V1596"/>
      <c r="W1596">
        <v>18</v>
      </c>
    </row>
    <row r="1597" spans="1:23">
      <c r="A1597"/>
      <c r="B1597" t="s">
        <v>62</v>
      </c>
      <c r="C1597" t="s">
        <v>62</v>
      </c>
      <c r="D1597" t="s">
        <v>33</v>
      </c>
      <c r="E1597" t="s">
        <v>34</v>
      </c>
      <c r="F1597" t="str">
        <f>"0001910"</f>
        <v>0001910</v>
      </c>
      <c r="G1597">
        <v>1</v>
      </c>
      <c r="H1597" t="str">
        <f>"00000000"</f>
        <v>00000000</v>
      </c>
      <c r="I1597" t="s">
        <v>35</v>
      </c>
      <c r="J1597"/>
      <c r="K1597">
        <v>0.03</v>
      </c>
      <c r="L1597">
        <v>0.0</v>
      </c>
      <c r="M1597"/>
      <c r="N1597"/>
      <c r="O1597">
        <v>0.0</v>
      </c>
      <c r="P1597">
        <v>0.2</v>
      </c>
      <c r="Q1597">
        <v>0.23</v>
      </c>
      <c r="R1597"/>
      <c r="S1597"/>
      <c r="T1597"/>
      <c r="U1597"/>
      <c r="V1597"/>
      <c r="W1597">
        <v>18</v>
      </c>
    </row>
    <row r="1598" spans="1:23">
      <c r="A1598"/>
      <c r="B1598" t="s">
        <v>62</v>
      </c>
      <c r="C1598" t="s">
        <v>62</v>
      </c>
      <c r="D1598" t="s">
        <v>33</v>
      </c>
      <c r="E1598" t="s">
        <v>34</v>
      </c>
      <c r="F1598" t="str">
        <f>"0001911"</f>
        <v>0001911</v>
      </c>
      <c r="G1598">
        <v>1</v>
      </c>
      <c r="H1598" t="str">
        <f>"00000000"</f>
        <v>00000000</v>
      </c>
      <c r="I1598" t="s">
        <v>35</v>
      </c>
      <c r="J1598"/>
      <c r="K1598">
        <v>57.29</v>
      </c>
      <c r="L1598">
        <v>0.0</v>
      </c>
      <c r="M1598"/>
      <c r="N1598"/>
      <c r="O1598">
        <v>10.31</v>
      </c>
      <c r="P1598">
        <v>0.2</v>
      </c>
      <c r="Q1598">
        <v>67.8</v>
      </c>
      <c r="R1598"/>
      <c r="S1598"/>
      <c r="T1598"/>
      <c r="U1598"/>
      <c r="V1598"/>
      <c r="W1598">
        <v>18</v>
      </c>
    </row>
    <row r="1599" spans="1:23">
      <c r="A1599"/>
      <c r="B1599" t="s">
        <v>62</v>
      </c>
      <c r="C1599" t="s">
        <v>62</v>
      </c>
      <c r="D1599" t="s">
        <v>33</v>
      </c>
      <c r="E1599" t="s">
        <v>34</v>
      </c>
      <c r="F1599" t="str">
        <f>"0001912"</f>
        <v>0001912</v>
      </c>
      <c r="G1599">
        <v>1</v>
      </c>
      <c r="H1599" t="str">
        <f>"00000000"</f>
        <v>00000000</v>
      </c>
      <c r="I1599" t="s">
        <v>35</v>
      </c>
      <c r="J1599"/>
      <c r="K1599">
        <v>36.86</v>
      </c>
      <c r="L1599">
        <v>0.0</v>
      </c>
      <c r="M1599"/>
      <c r="N1599"/>
      <c r="O1599">
        <v>6.63</v>
      </c>
      <c r="P1599">
        <v>0.0</v>
      </c>
      <c r="Q1599">
        <v>43.49</v>
      </c>
      <c r="R1599"/>
      <c r="S1599"/>
      <c r="T1599"/>
      <c r="U1599"/>
      <c r="V1599"/>
      <c r="W1599">
        <v>18</v>
      </c>
    </row>
    <row r="1600" spans="1:23">
      <c r="A1600"/>
      <c r="B1600" t="s">
        <v>62</v>
      </c>
      <c r="C1600" t="s">
        <v>62</v>
      </c>
      <c r="D1600" t="s">
        <v>33</v>
      </c>
      <c r="E1600" t="s">
        <v>34</v>
      </c>
      <c r="F1600" t="str">
        <f>"0001913"</f>
        <v>0001913</v>
      </c>
      <c r="G1600">
        <v>1</v>
      </c>
      <c r="H1600" t="str">
        <f>"00000000"</f>
        <v>00000000</v>
      </c>
      <c r="I1600" t="s">
        <v>35</v>
      </c>
      <c r="J1600"/>
      <c r="K1600">
        <v>13.75</v>
      </c>
      <c r="L1600">
        <v>0.0</v>
      </c>
      <c r="M1600"/>
      <c r="N1600"/>
      <c r="O1600">
        <v>2.48</v>
      </c>
      <c r="P1600">
        <v>0.2</v>
      </c>
      <c r="Q1600">
        <v>16.43</v>
      </c>
      <c r="R1600"/>
      <c r="S1600"/>
      <c r="T1600"/>
      <c r="U1600"/>
      <c r="V1600"/>
      <c r="W1600">
        <v>18</v>
      </c>
    </row>
    <row r="1601" spans="1:23">
      <c r="A1601"/>
      <c r="B1601" t="s">
        <v>62</v>
      </c>
      <c r="C1601" t="s">
        <v>62</v>
      </c>
      <c r="D1601" t="s">
        <v>33</v>
      </c>
      <c r="E1601" t="s">
        <v>34</v>
      </c>
      <c r="F1601" t="str">
        <f>"0001914"</f>
        <v>0001914</v>
      </c>
      <c r="G1601">
        <v>1</v>
      </c>
      <c r="H1601" t="str">
        <f>"00000000"</f>
        <v>00000000</v>
      </c>
      <c r="I1601" t="s">
        <v>35</v>
      </c>
      <c r="J1601"/>
      <c r="K1601">
        <v>100.59</v>
      </c>
      <c r="L1601">
        <v>0.0</v>
      </c>
      <c r="M1601"/>
      <c r="N1601"/>
      <c r="O1601">
        <v>18.11</v>
      </c>
      <c r="P1601">
        <v>0.4</v>
      </c>
      <c r="Q1601">
        <v>119.1</v>
      </c>
      <c r="R1601"/>
      <c r="S1601"/>
      <c r="T1601"/>
      <c r="U1601"/>
      <c r="V1601"/>
      <c r="W1601">
        <v>18</v>
      </c>
    </row>
    <row r="1602" spans="1:23">
      <c r="A1602"/>
      <c r="B1602" t="s">
        <v>62</v>
      </c>
      <c r="C1602" t="s">
        <v>62</v>
      </c>
      <c r="D1602" t="s">
        <v>33</v>
      </c>
      <c r="E1602" t="s">
        <v>34</v>
      </c>
      <c r="F1602" t="str">
        <f>"0001915"</f>
        <v>0001915</v>
      </c>
      <c r="G1602">
        <v>1</v>
      </c>
      <c r="H1602" t="str">
        <f>"00000000"</f>
        <v>00000000</v>
      </c>
      <c r="I1602" t="s">
        <v>35</v>
      </c>
      <c r="J1602"/>
      <c r="K1602">
        <v>10.76</v>
      </c>
      <c r="L1602">
        <v>0.0</v>
      </c>
      <c r="M1602"/>
      <c r="N1602"/>
      <c r="O1602">
        <v>1.94</v>
      </c>
      <c r="P1602">
        <v>0.2</v>
      </c>
      <c r="Q1602">
        <v>12.89</v>
      </c>
      <c r="R1602"/>
      <c r="S1602"/>
      <c r="T1602"/>
      <c r="U1602"/>
      <c r="V1602"/>
      <c r="W1602">
        <v>18</v>
      </c>
    </row>
    <row r="1603" spans="1:23">
      <c r="A1603"/>
      <c r="B1603" t="s">
        <v>62</v>
      </c>
      <c r="C1603" t="s">
        <v>62</v>
      </c>
      <c r="D1603" t="s">
        <v>33</v>
      </c>
      <c r="E1603" t="s">
        <v>34</v>
      </c>
      <c r="F1603" t="str">
        <f>"0001916"</f>
        <v>0001916</v>
      </c>
      <c r="G1603">
        <v>1</v>
      </c>
      <c r="H1603" t="str">
        <f>"00000000"</f>
        <v>00000000</v>
      </c>
      <c r="I1603" t="s">
        <v>35</v>
      </c>
      <c r="J1603"/>
      <c r="K1603">
        <v>5.8</v>
      </c>
      <c r="L1603">
        <v>0.0</v>
      </c>
      <c r="M1603"/>
      <c r="N1603"/>
      <c r="O1603">
        <v>1.04</v>
      </c>
      <c r="P1603">
        <v>0.0</v>
      </c>
      <c r="Q1603">
        <v>6.84</v>
      </c>
      <c r="R1603"/>
      <c r="S1603"/>
      <c r="T1603"/>
      <c r="U1603"/>
      <c r="V1603"/>
      <c r="W1603">
        <v>18</v>
      </c>
    </row>
    <row r="1604" spans="1:23">
      <c r="A1604"/>
      <c r="B1604" t="s">
        <v>62</v>
      </c>
      <c r="C1604" t="s">
        <v>62</v>
      </c>
      <c r="D1604" t="s">
        <v>33</v>
      </c>
      <c r="E1604" t="s">
        <v>34</v>
      </c>
      <c r="F1604" t="str">
        <f>"0001917"</f>
        <v>0001917</v>
      </c>
      <c r="G1604">
        <v>1</v>
      </c>
      <c r="H1604" t="str">
        <f>"00000000"</f>
        <v>00000000</v>
      </c>
      <c r="I1604" t="s">
        <v>35</v>
      </c>
      <c r="J1604"/>
      <c r="K1604">
        <v>1.69</v>
      </c>
      <c r="L1604">
        <v>0.0</v>
      </c>
      <c r="M1604"/>
      <c r="N1604"/>
      <c r="O1604">
        <v>0.31</v>
      </c>
      <c r="P1604">
        <v>0.0</v>
      </c>
      <c r="Q1604">
        <v>2.0</v>
      </c>
      <c r="R1604"/>
      <c r="S1604"/>
      <c r="T1604"/>
      <c r="U1604"/>
      <c r="V1604"/>
      <c r="W1604">
        <v>18</v>
      </c>
    </row>
    <row r="1605" spans="1:23">
      <c r="A1605"/>
      <c r="B1605" t="s">
        <v>62</v>
      </c>
      <c r="C1605" t="s">
        <v>62</v>
      </c>
      <c r="D1605" t="s">
        <v>33</v>
      </c>
      <c r="E1605" t="s">
        <v>34</v>
      </c>
      <c r="F1605" t="str">
        <f>"0001918"</f>
        <v>0001918</v>
      </c>
      <c r="G1605">
        <v>1</v>
      </c>
      <c r="H1605" t="str">
        <f>"00000000"</f>
        <v>00000000</v>
      </c>
      <c r="I1605" t="s">
        <v>35</v>
      </c>
      <c r="J1605"/>
      <c r="K1605">
        <v>84.82</v>
      </c>
      <c r="L1605">
        <v>0.0</v>
      </c>
      <c r="M1605"/>
      <c r="N1605"/>
      <c r="O1605">
        <v>15.27</v>
      </c>
      <c r="P1605">
        <v>0.2</v>
      </c>
      <c r="Q1605">
        <v>100.29</v>
      </c>
      <c r="R1605"/>
      <c r="S1605"/>
      <c r="T1605"/>
      <c r="U1605"/>
      <c r="V1605"/>
      <c r="W1605">
        <v>18</v>
      </c>
    </row>
    <row r="1606" spans="1:23">
      <c r="A1606"/>
      <c r="B1606" t="s">
        <v>62</v>
      </c>
      <c r="C1606" t="s">
        <v>62</v>
      </c>
      <c r="D1606" t="s">
        <v>33</v>
      </c>
      <c r="E1606" t="s">
        <v>34</v>
      </c>
      <c r="F1606" t="str">
        <f>"0001919"</f>
        <v>0001919</v>
      </c>
      <c r="G1606">
        <v>1</v>
      </c>
      <c r="H1606" t="str">
        <f>"00000000"</f>
        <v>00000000</v>
      </c>
      <c r="I1606" t="s">
        <v>35</v>
      </c>
      <c r="J1606"/>
      <c r="K1606">
        <v>3.81</v>
      </c>
      <c r="L1606">
        <v>0.0</v>
      </c>
      <c r="M1606"/>
      <c r="N1606"/>
      <c r="O1606">
        <v>0.69</v>
      </c>
      <c r="P1606">
        <v>0.0</v>
      </c>
      <c r="Q1606">
        <v>4.5</v>
      </c>
      <c r="R1606"/>
      <c r="S1606"/>
      <c r="T1606"/>
      <c r="U1606"/>
      <c r="V1606"/>
      <c r="W1606">
        <v>18</v>
      </c>
    </row>
    <row r="1607" spans="1:23">
      <c r="A1607"/>
      <c r="B1607" t="s">
        <v>62</v>
      </c>
      <c r="C1607" t="s">
        <v>62</v>
      </c>
      <c r="D1607" t="s">
        <v>33</v>
      </c>
      <c r="E1607" t="s">
        <v>34</v>
      </c>
      <c r="F1607" t="str">
        <f>"0001920"</f>
        <v>0001920</v>
      </c>
      <c r="G1607">
        <v>1</v>
      </c>
      <c r="H1607" t="str">
        <f>"00000000"</f>
        <v>00000000</v>
      </c>
      <c r="I1607" t="s">
        <v>35</v>
      </c>
      <c r="J1607"/>
      <c r="K1607">
        <v>10.17</v>
      </c>
      <c r="L1607">
        <v>0.0</v>
      </c>
      <c r="M1607"/>
      <c r="N1607"/>
      <c r="O1607">
        <v>1.83</v>
      </c>
      <c r="P1607">
        <v>0.2</v>
      </c>
      <c r="Q1607">
        <v>12.2</v>
      </c>
      <c r="R1607"/>
      <c r="S1607"/>
      <c r="T1607"/>
      <c r="U1607"/>
      <c r="V1607"/>
      <c r="W1607">
        <v>18</v>
      </c>
    </row>
    <row r="1608" spans="1:23">
      <c r="A1608"/>
      <c r="B1608" t="s">
        <v>62</v>
      </c>
      <c r="C1608" t="s">
        <v>62</v>
      </c>
      <c r="D1608" t="s">
        <v>33</v>
      </c>
      <c r="E1608" t="s">
        <v>34</v>
      </c>
      <c r="F1608" t="str">
        <f>"0001921"</f>
        <v>0001921</v>
      </c>
      <c r="G1608">
        <v>1</v>
      </c>
      <c r="H1608" t="str">
        <f>"00000000"</f>
        <v>00000000</v>
      </c>
      <c r="I1608" t="s">
        <v>35</v>
      </c>
      <c r="J1608"/>
      <c r="K1608">
        <v>17.8</v>
      </c>
      <c r="L1608">
        <v>0.0</v>
      </c>
      <c r="M1608"/>
      <c r="N1608"/>
      <c r="O1608">
        <v>3.2</v>
      </c>
      <c r="P1608">
        <v>0.0</v>
      </c>
      <c r="Q1608">
        <v>21.0</v>
      </c>
      <c r="R1608"/>
      <c r="S1608"/>
      <c r="T1608"/>
      <c r="U1608"/>
      <c r="V1608"/>
      <c r="W1608">
        <v>18</v>
      </c>
    </row>
    <row r="1609" spans="1:23">
      <c r="A1609"/>
      <c r="B1609" t="s">
        <v>62</v>
      </c>
      <c r="C1609" t="s">
        <v>62</v>
      </c>
      <c r="D1609" t="s">
        <v>33</v>
      </c>
      <c r="E1609" t="s">
        <v>34</v>
      </c>
      <c r="F1609" t="str">
        <f>"0001922"</f>
        <v>0001922</v>
      </c>
      <c r="G1609">
        <v>1</v>
      </c>
      <c r="H1609" t="str">
        <f>"00000000"</f>
        <v>00000000</v>
      </c>
      <c r="I1609" t="s">
        <v>35</v>
      </c>
      <c r="J1609"/>
      <c r="K1609">
        <v>13.28</v>
      </c>
      <c r="L1609">
        <v>0.0</v>
      </c>
      <c r="M1609"/>
      <c r="N1609"/>
      <c r="O1609">
        <v>2.39</v>
      </c>
      <c r="P1609">
        <v>0.2</v>
      </c>
      <c r="Q1609">
        <v>15.87</v>
      </c>
      <c r="R1609"/>
      <c r="S1609"/>
      <c r="T1609"/>
      <c r="U1609"/>
      <c r="V1609"/>
      <c r="W1609">
        <v>18</v>
      </c>
    </row>
    <row r="1610" spans="1:23">
      <c r="A1610"/>
      <c r="B1610" t="s">
        <v>62</v>
      </c>
      <c r="C1610" t="s">
        <v>62</v>
      </c>
      <c r="D1610" t="s">
        <v>33</v>
      </c>
      <c r="E1610" t="s">
        <v>34</v>
      </c>
      <c r="F1610" t="str">
        <f>"0001923"</f>
        <v>0001923</v>
      </c>
      <c r="G1610">
        <v>1</v>
      </c>
      <c r="H1610" t="str">
        <f>"00000000"</f>
        <v>00000000</v>
      </c>
      <c r="I1610" t="s">
        <v>35</v>
      </c>
      <c r="J1610"/>
      <c r="K1610">
        <v>10.17</v>
      </c>
      <c r="L1610">
        <v>0.0</v>
      </c>
      <c r="M1610"/>
      <c r="N1610"/>
      <c r="O1610">
        <v>1.83</v>
      </c>
      <c r="P1610">
        <v>0.0</v>
      </c>
      <c r="Q1610">
        <v>12.0</v>
      </c>
      <c r="R1610"/>
      <c r="S1610"/>
      <c r="T1610"/>
      <c r="U1610"/>
      <c r="V1610"/>
      <c r="W1610">
        <v>18</v>
      </c>
    </row>
    <row r="1611" spans="1:23">
      <c r="A1611"/>
      <c r="B1611" t="s">
        <v>62</v>
      </c>
      <c r="C1611" t="s">
        <v>62</v>
      </c>
      <c r="D1611" t="s">
        <v>33</v>
      </c>
      <c r="E1611" t="s">
        <v>34</v>
      </c>
      <c r="F1611" t="str">
        <f>"0001924"</f>
        <v>0001924</v>
      </c>
      <c r="G1611">
        <v>1</v>
      </c>
      <c r="H1611" t="str">
        <f>"00000000"</f>
        <v>00000000</v>
      </c>
      <c r="I1611" t="s">
        <v>35</v>
      </c>
      <c r="J1611"/>
      <c r="K1611">
        <v>8.55</v>
      </c>
      <c r="L1611">
        <v>0.0</v>
      </c>
      <c r="M1611"/>
      <c r="N1611"/>
      <c r="O1611">
        <v>1.54</v>
      </c>
      <c r="P1611">
        <v>0.2</v>
      </c>
      <c r="Q1611">
        <v>10.29</v>
      </c>
      <c r="R1611"/>
      <c r="S1611"/>
      <c r="T1611"/>
      <c r="U1611"/>
      <c r="V1611"/>
      <c r="W1611">
        <v>18</v>
      </c>
    </row>
    <row r="1612" spans="1:23">
      <c r="A1612"/>
      <c r="B1612" t="s">
        <v>62</v>
      </c>
      <c r="C1612" t="s">
        <v>62</v>
      </c>
      <c r="D1612" t="s">
        <v>33</v>
      </c>
      <c r="E1612" t="s">
        <v>34</v>
      </c>
      <c r="F1612" t="str">
        <f>"0001925"</f>
        <v>0001925</v>
      </c>
      <c r="G1612">
        <v>1</v>
      </c>
      <c r="H1612" t="str">
        <f>"00000000"</f>
        <v>00000000</v>
      </c>
      <c r="I1612" t="s">
        <v>35</v>
      </c>
      <c r="J1612"/>
      <c r="K1612">
        <v>22.56</v>
      </c>
      <c r="L1612">
        <v>0.0</v>
      </c>
      <c r="M1612"/>
      <c r="N1612"/>
      <c r="O1612">
        <v>4.06</v>
      </c>
      <c r="P1612">
        <v>0.0</v>
      </c>
      <c r="Q1612">
        <v>26.62</v>
      </c>
      <c r="R1612"/>
      <c r="S1612"/>
      <c r="T1612"/>
      <c r="U1612"/>
      <c r="V1612"/>
      <c r="W1612">
        <v>18</v>
      </c>
    </row>
    <row r="1613" spans="1:23">
      <c r="A1613"/>
      <c r="B1613" t="s">
        <v>62</v>
      </c>
      <c r="C1613" t="s">
        <v>62</v>
      </c>
      <c r="D1613" t="s">
        <v>33</v>
      </c>
      <c r="E1613" t="s">
        <v>34</v>
      </c>
      <c r="F1613" t="str">
        <f>"0001926"</f>
        <v>0001926</v>
      </c>
      <c r="G1613">
        <v>1</v>
      </c>
      <c r="H1613" t="str">
        <f>"00000000"</f>
        <v>00000000</v>
      </c>
      <c r="I1613" t="s">
        <v>35</v>
      </c>
      <c r="J1613"/>
      <c r="K1613">
        <v>10.17</v>
      </c>
      <c r="L1613">
        <v>0.0</v>
      </c>
      <c r="M1613"/>
      <c r="N1613"/>
      <c r="O1613">
        <v>1.83</v>
      </c>
      <c r="P1613">
        <v>0.0</v>
      </c>
      <c r="Q1613">
        <v>12.0</v>
      </c>
      <c r="R1613"/>
      <c r="S1613"/>
      <c r="T1613"/>
      <c r="U1613"/>
      <c r="V1613"/>
      <c r="W1613">
        <v>18</v>
      </c>
    </row>
    <row r="1614" spans="1:23">
      <c r="A1614"/>
      <c r="B1614" t="s">
        <v>62</v>
      </c>
      <c r="C1614" t="s">
        <v>62</v>
      </c>
      <c r="D1614" t="s">
        <v>33</v>
      </c>
      <c r="E1614" t="s">
        <v>34</v>
      </c>
      <c r="F1614" t="str">
        <f>"0001927"</f>
        <v>0001927</v>
      </c>
      <c r="G1614">
        <v>1</v>
      </c>
      <c r="H1614" t="str">
        <f>"00000000"</f>
        <v>00000000</v>
      </c>
      <c r="I1614" t="s">
        <v>35</v>
      </c>
      <c r="J1614"/>
      <c r="K1614">
        <v>10.17</v>
      </c>
      <c r="L1614">
        <v>0.0</v>
      </c>
      <c r="M1614"/>
      <c r="N1614"/>
      <c r="O1614">
        <v>1.83</v>
      </c>
      <c r="P1614">
        <v>0.0</v>
      </c>
      <c r="Q1614">
        <v>12.0</v>
      </c>
      <c r="R1614"/>
      <c r="S1614"/>
      <c r="T1614"/>
      <c r="U1614"/>
      <c r="V1614"/>
      <c r="W1614">
        <v>18</v>
      </c>
    </row>
    <row r="1615" spans="1:23">
      <c r="A1615"/>
      <c r="B1615" t="s">
        <v>62</v>
      </c>
      <c r="C1615" t="s">
        <v>62</v>
      </c>
      <c r="D1615" t="s">
        <v>33</v>
      </c>
      <c r="E1615" t="s">
        <v>34</v>
      </c>
      <c r="F1615" t="str">
        <f>"0001928"</f>
        <v>0001928</v>
      </c>
      <c r="G1615">
        <v>1</v>
      </c>
      <c r="H1615" t="str">
        <f>"00000000"</f>
        <v>00000000</v>
      </c>
      <c r="I1615" t="s">
        <v>35</v>
      </c>
      <c r="J1615"/>
      <c r="K1615">
        <v>10.17</v>
      </c>
      <c r="L1615">
        <v>0.0</v>
      </c>
      <c r="M1615"/>
      <c r="N1615"/>
      <c r="O1615">
        <v>1.83</v>
      </c>
      <c r="P1615">
        <v>0.0</v>
      </c>
      <c r="Q1615">
        <v>12.0</v>
      </c>
      <c r="R1615"/>
      <c r="S1615"/>
      <c r="T1615"/>
      <c r="U1615"/>
      <c r="V1615"/>
      <c r="W1615">
        <v>18</v>
      </c>
    </row>
    <row r="1616" spans="1:23">
      <c r="A1616"/>
      <c r="B1616" t="s">
        <v>62</v>
      </c>
      <c r="C1616" t="s">
        <v>62</v>
      </c>
      <c r="D1616" t="s">
        <v>33</v>
      </c>
      <c r="E1616" t="s">
        <v>34</v>
      </c>
      <c r="F1616" t="str">
        <f>"0001929"</f>
        <v>0001929</v>
      </c>
      <c r="G1616">
        <v>1</v>
      </c>
      <c r="H1616" t="str">
        <f>"00000000"</f>
        <v>00000000</v>
      </c>
      <c r="I1616" t="s">
        <v>35</v>
      </c>
      <c r="J1616"/>
      <c r="K1616">
        <v>16.91</v>
      </c>
      <c r="L1616">
        <v>0.0</v>
      </c>
      <c r="M1616"/>
      <c r="N1616"/>
      <c r="O1616">
        <v>3.04</v>
      </c>
      <c r="P1616">
        <v>0.2</v>
      </c>
      <c r="Q1616">
        <v>20.15</v>
      </c>
      <c r="R1616"/>
      <c r="S1616"/>
      <c r="T1616"/>
      <c r="U1616"/>
      <c r="V1616"/>
      <c r="W1616">
        <v>18</v>
      </c>
    </row>
    <row r="1617" spans="1:23">
      <c r="A1617"/>
      <c r="B1617" t="s">
        <v>62</v>
      </c>
      <c r="C1617" t="s">
        <v>62</v>
      </c>
      <c r="D1617" t="s">
        <v>33</v>
      </c>
      <c r="E1617" t="s">
        <v>34</v>
      </c>
      <c r="F1617" t="str">
        <f>"0001930"</f>
        <v>0001930</v>
      </c>
      <c r="G1617">
        <v>1</v>
      </c>
      <c r="H1617" t="str">
        <f>"00000000"</f>
        <v>00000000</v>
      </c>
      <c r="I1617" t="s">
        <v>35</v>
      </c>
      <c r="J1617"/>
      <c r="K1617">
        <v>15.76</v>
      </c>
      <c r="L1617">
        <v>0.0</v>
      </c>
      <c r="M1617"/>
      <c r="N1617"/>
      <c r="O1617">
        <v>2.84</v>
      </c>
      <c r="P1617">
        <v>0.0</v>
      </c>
      <c r="Q1617">
        <v>18.6</v>
      </c>
      <c r="R1617"/>
      <c r="S1617"/>
      <c r="T1617"/>
      <c r="U1617"/>
      <c r="V1617"/>
      <c r="W1617">
        <v>18</v>
      </c>
    </row>
    <row r="1618" spans="1:23">
      <c r="A1618"/>
      <c r="B1618" t="s">
        <v>62</v>
      </c>
      <c r="C1618" t="s">
        <v>62</v>
      </c>
      <c r="D1618" t="s">
        <v>33</v>
      </c>
      <c r="E1618" t="s">
        <v>34</v>
      </c>
      <c r="F1618" t="str">
        <f>"0001931"</f>
        <v>0001931</v>
      </c>
      <c r="G1618">
        <v>1</v>
      </c>
      <c r="H1618" t="str">
        <f>"00000000"</f>
        <v>00000000</v>
      </c>
      <c r="I1618" t="s">
        <v>35</v>
      </c>
      <c r="J1618"/>
      <c r="K1618">
        <v>13.51</v>
      </c>
      <c r="L1618">
        <v>0.0</v>
      </c>
      <c r="M1618"/>
      <c r="N1618"/>
      <c r="O1618">
        <v>2.43</v>
      </c>
      <c r="P1618">
        <v>0.0</v>
      </c>
      <c r="Q1618">
        <v>15.94</v>
      </c>
      <c r="R1618"/>
      <c r="S1618"/>
      <c r="T1618"/>
      <c r="U1618"/>
      <c r="V1618"/>
      <c r="W1618">
        <v>18</v>
      </c>
    </row>
    <row r="1619" spans="1:23">
      <c r="A1619"/>
      <c r="B1619" t="s">
        <v>62</v>
      </c>
      <c r="C1619" t="s">
        <v>62</v>
      </c>
      <c r="D1619" t="s">
        <v>33</v>
      </c>
      <c r="E1619" t="s">
        <v>34</v>
      </c>
      <c r="F1619" t="str">
        <f>"0001932"</f>
        <v>0001932</v>
      </c>
      <c r="G1619">
        <v>1</v>
      </c>
      <c r="H1619" t="str">
        <f>"00000000"</f>
        <v>00000000</v>
      </c>
      <c r="I1619" t="s">
        <v>35</v>
      </c>
      <c r="J1619"/>
      <c r="K1619">
        <v>0.04</v>
      </c>
      <c r="L1619">
        <v>0.0</v>
      </c>
      <c r="M1619"/>
      <c r="N1619"/>
      <c r="O1619">
        <v>0.01</v>
      </c>
      <c r="P1619">
        <v>0.2</v>
      </c>
      <c r="Q1619">
        <v>0.25</v>
      </c>
      <c r="R1619"/>
      <c r="S1619"/>
      <c r="T1619"/>
      <c r="U1619"/>
      <c r="V1619"/>
      <c r="W1619">
        <v>18</v>
      </c>
    </row>
    <row r="1620" spans="1:23">
      <c r="A1620"/>
      <c r="B1620" t="s">
        <v>62</v>
      </c>
      <c r="C1620" t="s">
        <v>62</v>
      </c>
      <c r="D1620" t="s">
        <v>33</v>
      </c>
      <c r="E1620" t="s">
        <v>34</v>
      </c>
      <c r="F1620" t="str">
        <f>"0001933"</f>
        <v>0001933</v>
      </c>
      <c r="G1620">
        <v>1</v>
      </c>
      <c r="H1620" t="str">
        <f>"00000000"</f>
        <v>00000000</v>
      </c>
      <c r="I1620" t="s">
        <v>35</v>
      </c>
      <c r="J1620"/>
      <c r="K1620">
        <v>13.55</v>
      </c>
      <c r="L1620">
        <v>0.0</v>
      </c>
      <c r="M1620"/>
      <c r="N1620"/>
      <c r="O1620">
        <v>2.44</v>
      </c>
      <c r="P1620">
        <v>0.2</v>
      </c>
      <c r="Q1620">
        <v>16.19</v>
      </c>
      <c r="R1620"/>
      <c r="S1620"/>
      <c r="T1620"/>
      <c r="U1620"/>
      <c r="V1620"/>
      <c r="W1620">
        <v>18</v>
      </c>
    </row>
    <row r="1621" spans="1:23">
      <c r="A1621"/>
      <c r="B1621" t="s">
        <v>62</v>
      </c>
      <c r="C1621" t="s">
        <v>62</v>
      </c>
      <c r="D1621" t="s">
        <v>33</v>
      </c>
      <c r="E1621" t="s">
        <v>34</v>
      </c>
      <c r="F1621" t="str">
        <f>"0001934"</f>
        <v>0001934</v>
      </c>
      <c r="G1621">
        <v>1</v>
      </c>
      <c r="H1621" t="str">
        <f>"00000000"</f>
        <v>00000000</v>
      </c>
      <c r="I1621" t="s">
        <v>35</v>
      </c>
      <c r="J1621"/>
      <c r="K1621">
        <v>17.82</v>
      </c>
      <c r="L1621">
        <v>0.0</v>
      </c>
      <c r="M1621"/>
      <c r="N1621"/>
      <c r="O1621">
        <v>3.21</v>
      </c>
      <c r="P1621">
        <v>0.2</v>
      </c>
      <c r="Q1621">
        <v>21.23</v>
      </c>
      <c r="R1621"/>
      <c r="S1621"/>
      <c r="T1621"/>
      <c r="U1621"/>
      <c r="V1621"/>
      <c r="W1621">
        <v>18</v>
      </c>
    </row>
    <row r="1622" spans="1:23">
      <c r="A1622"/>
      <c r="B1622" t="s">
        <v>62</v>
      </c>
      <c r="C1622" t="s">
        <v>62</v>
      </c>
      <c r="D1622" t="s">
        <v>33</v>
      </c>
      <c r="E1622" t="s">
        <v>34</v>
      </c>
      <c r="F1622" t="str">
        <f>"0001935"</f>
        <v>0001935</v>
      </c>
      <c r="G1622">
        <v>1</v>
      </c>
      <c r="H1622" t="str">
        <f>"00000000"</f>
        <v>00000000</v>
      </c>
      <c r="I1622" t="s">
        <v>35</v>
      </c>
      <c r="J1622"/>
      <c r="K1622">
        <v>10.08</v>
      </c>
      <c r="L1622">
        <v>0.0</v>
      </c>
      <c r="M1622"/>
      <c r="N1622"/>
      <c r="O1622">
        <v>1.81</v>
      </c>
      <c r="P1622">
        <v>0.0</v>
      </c>
      <c r="Q1622">
        <v>11.89</v>
      </c>
      <c r="R1622"/>
      <c r="S1622"/>
      <c r="T1622"/>
      <c r="U1622"/>
      <c r="V1622"/>
      <c r="W1622">
        <v>18</v>
      </c>
    </row>
    <row r="1623" spans="1:23">
      <c r="A1623"/>
      <c r="B1623" t="s">
        <v>62</v>
      </c>
      <c r="C1623" t="s">
        <v>62</v>
      </c>
      <c r="D1623" t="s">
        <v>33</v>
      </c>
      <c r="E1623" t="s">
        <v>34</v>
      </c>
      <c r="F1623" t="str">
        <f>"0001936"</f>
        <v>0001936</v>
      </c>
      <c r="G1623">
        <v>1</v>
      </c>
      <c r="H1623" t="str">
        <f>"00000000"</f>
        <v>00000000</v>
      </c>
      <c r="I1623" t="s">
        <v>35</v>
      </c>
      <c r="J1623"/>
      <c r="K1623">
        <v>3.39</v>
      </c>
      <c r="L1623">
        <v>0.0</v>
      </c>
      <c r="M1623"/>
      <c r="N1623"/>
      <c r="O1623">
        <v>0.61</v>
      </c>
      <c r="P1623">
        <v>0.0</v>
      </c>
      <c r="Q1623">
        <v>4.0</v>
      </c>
      <c r="R1623"/>
      <c r="S1623"/>
      <c r="T1623"/>
      <c r="U1623"/>
      <c r="V1623"/>
      <c r="W1623">
        <v>18</v>
      </c>
    </row>
    <row r="1624" spans="1:23">
      <c r="A1624"/>
      <c r="B1624" t="s">
        <v>62</v>
      </c>
      <c r="C1624" t="s">
        <v>62</v>
      </c>
      <c r="D1624" t="s">
        <v>33</v>
      </c>
      <c r="E1624" t="s">
        <v>34</v>
      </c>
      <c r="F1624" t="str">
        <f>"0001937"</f>
        <v>0001937</v>
      </c>
      <c r="G1624">
        <v>1</v>
      </c>
      <c r="H1624" t="str">
        <f>"00000000"</f>
        <v>00000000</v>
      </c>
      <c r="I1624" t="s">
        <v>35</v>
      </c>
      <c r="J1624"/>
      <c r="K1624">
        <v>1.02</v>
      </c>
      <c r="L1624">
        <v>0.0</v>
      </c>
      <c r="M1624"/>
      <c r="N1624"/>
      <c r="O1624">
        <v>0.18</v>
      </c>
      <c r="P1624">
        <v>0.0</v>
      </c>
      <c r="Q1624">
        <v>1.2</v>
      </c>
      <c r="R1624"/>
      <c r="S1624"/>
      <c r="T1624"/>
      <c r="U1624"/>
      <c r="V1624"/>
      <c r="W1624">
        <v>18</v>
      </c>
    </row>
    <row r="1625" spans="1:23">
      <c r="A1625"/>
      <c r="B1625" t="s">
        <v>62</v>
      </c>
      <c r="C1625" t="s">
        <v>62</v>
      </c>
      <c r="D1625" t="s">
        <v>33</v>
      </c>
      <c r="E1625" t="s">
        <v>34</v>
      </c>
      <c r="F1625" t="str">
        <f>"0001938"</f>
        <v>0001938</v>
      </c>
      <c r="G1625">
        <v>1</v>
      </c>
      <c r="H1625" t="str">
        <f>"00000000"</f>
        <v>00000000</v>
      </c>
      <c r="I1625" t="s">
        <v>35</v>
      </c>
      <c r="J1625"/>
      <c r="K1625">
        <v>12.73</v>
      </c>
      <c r="L1625">
        <v>0.0</v>
      </c>
      <c r="M1625"/>
      <c r="N1625"/>
      <c r="O1625">
        <v>2.29</v>
      </c>
      <c r="P1625">
        <v>0.0</v>
      </c>
      <c r="Q1625">
        <v>15.02</v>
      </c>
      <c r="R1625"/>
      <c r="S1625"/>
      <c r="T1625"/>
      <c r="U1625"/>
      <c r="V1625"/>
      <c r="W1625">
        <v>18</v>
      </c>
    </row>
    <row r="1626" spans="1:23">
      <c r="A1626"/>
      <c r="B1626" t="s">
        <v>62</v>
      </c>
      <c r="C1626" t="s">
        <v>62</v>
      </c>
      <c r="D1626" t="s">
        <v>33</v>
      </c>
      <c r="E1626" t="s">
        <v>34</v>
      </c>
      <c r="F1626" t="str">
        <f>"0001939"</f>
        <v>0001939</v>
      </c>
      <c r="G1626">
        <v>1</v>
      </c>
      <c r="H1626" t="str">
        <f>"00000000"</f>
        <v>00000000</v>
      </c>
      <c r="I1626" t="s">
        <v>35</v>
      </c>
      <c r="J1626"/>
      <c r="K1626">
        <v>4.24</v>
      </c>
      <c r="L1626">
        <v>0.0</v>
      </c>
      <c r="M1626"/>
      <c r="N1626"/>
      <c r="O1626">
        <v>0.76</v>
      </c>
      <c r="P1626">
        <v>0.0</v>
      </c>
      <c r="Q1626">
        <v>5.0</v>
      </c>
      <c r="R1626"/>
      <c r="S1626"/>
      <c r="T1626"/>
      <c r="U1626"/>
      <c r="V1626"/>
      <c r="W1626">
        <v>18</v>
      </c>
    </row>
    <row r="1627" spans="1:23">
      <c r="A1627"/>
      <c r="B1627" t="s">
        <v>62</v>
      </c>
      <c r="C1627" t="s">
        <v>62</v>
      </c>
      <c r="D1627" t="s">
        <v>33</v>
      </c>
      <c r="E1627" t="s">
        <v>34</v>
      </c>
      <c r="F1627" t="str">
        <f>"0001940"</f>
        <v>0001940</v>
      </c>
      <c r="G1627">
        <v>1</v>
      </c>
      <c r="H1627" t="str">
        <f>"00000000"</f>
        <v>00000000</v>
      </c>
      <c r="I1627" t="s">
        <v>35</v>
      </c>
      <c r="J1627"/>
      <c r="K1627">
        <v>16.04</v>
      </c>
      <c r="L1627">
        <v>0.0</v>
      </c>
      <c r="M1627"/>
      <c r="N1627"/>
      <c r="O1627">
        <v>2.89</v>
      </c>
      <c r="P1627">
        <v>0.2</v>
      </c>
      <c r="Q1627">
        <v>19.13</v>
      </c>
      <c r="R1627"/>
      <c r="S1627"/>
      <c r="T1627"/>
      <c r="U1627"/>
      <c r="V1627"/>
      <c r="W1627">
        <v>18</v>
      </c>
    </row>
    <row r="1628" spans="1:23">
      <c r="A1628"/>
      <c r="B1628" t="s">
        <v>62</v>
      </c>
      <c r="C1628" t="s">
        <v>62</v>
      </c>
      <c r="D1628" t="s">
        <v>33</v>
      </c>
      <c r="E1628" t="s">
        <v>34</v>
      </c>
      <c r="F1628" t="str">
        <f>"0001941"</f>
        <v>0001941</v>
      </c>
      <c r="G1628">
        <v>1</v>
      </c>
      <c r="H1628" t="str">
        <f>"00000000"</f>
        <v>00000000</v>
      </c>
      <c r="I1628" t="s">
        <v>35</v>
      </c>
      <c r="J1628"/>
      <c r="K1628">
        <v>29.48</v>
      </c>
      <c r="L1628">
        <v>0.0</v>
      </c>
      <c r="M1628"/>
      <c r="N1628"/>
      <c r="O1628">
        <v>5.31</v>
      </c>
      <c r="P1628">
        <v>0.2</v>
      </c>
      <c r="Q1628">
        <v>34.98</v>
      </c>
      <c r="R1628"/>
      <c r="S1628"/>
      <c r="T1628"/>
      <c r="U1628"/>
      <c r="V1628"/>
      <c r="W1628">
        <v>18</v>
      </c>
    </row>
    <row r="1629" spans="1:23">
      <c r="A1629"/>
      <c r="B1629" t="s">
        <v>62</v>
      </c>
      <c r="C1629" t="s">
        <v>62</v>
      </c>
      <c r="D1629" t="s">
        <v>33</v>
      </c>
      <c r="E1629" t="s">
        <v>34</v>
      </c>
      <c r="F1629" t="str">
        <f>"0001942"</f>
        <v>0001942</v>
      </c>
      <c r="G1629">
        <v>1</v>
      </c>
      <c r="H1629" t="str">
        <f>"00000000"</f>
        <v>00000000</v>
      </c>
      <c r="I1629" t="s">
        <v>35</v>
      </c>
      <c r="J1629"/>
      <c r="K1629">
        <v>6.12</v>
      </c>
      <c r="L1629">
        <v>0.0</v>
      </c>
      <c r="M1629"/>
      <c r="N1629"/>
      <c r="O1629">
        <v>1.1</v>
      </c>
      <c r="P1629">
        <v>0.0</v>
      </c>
      <c r="Q1629">
        <v>7.22</v>
      </c>
      <c r="R1629"/>
      <c r="S1629"/>
      <c r="T1629"/>
      <c r="U1629"/>
      <c r="V1629"/>
      <c r="W1629">
        <v>18</v>
      </c>
    </row>
    <row r="1630" spans="1:23">
      <c r="A1630"/>
      <c r="B1630" t="s">
        <v>62</v>
      </c>
      <c r="C1630" t="s">
        <v>62</v>
      </c>
      <c r="D1630" t="s">
        <v>33</v>
      </c>
      <c r="E1630" t="s">
        <v>34</v>
      </c>
      <c r="F1630" t="str">
        <f>"0001943"</f>
        <v>0001943</v>
      </c>
      <c r="G1630">
        <v>1</v>
      </c>
      <c r="H1630" t="str">
        <f>"00000000"</f>
        <v>00000000</v>
      </c>
      <c r="I1630" t="s">
        <v>35</v>
      </c>
      <c r="J1630"/>
      <c r="K1630">
        <v>71.38</v>
      </c>
      <c r="L1630">
        <v>0.0</v>
      </c>
      <c r="M1630"/>
      <c r="N1630"/>
      <c r="O1630">
        <v>12.85</v>
      </c>
      <c r="P1630">
        <v>0.4</v>
      </c>
      <c r="Q1630">
        <v>84.63</v>
      </c>
      <c r="R1630"/>
      <c r="S1630"/>
      <c r="T1630"/>
      <c r="U1630"/>
      <c r="V1630"/>
      <c r="W1630">
        <v>18</v>
      </c>
    </row>
    <row r="1631" spans="1:23">
      <c r="A1631"/>
      <c r="B1631" t="s">
        <v>62</v>
      </c>
      <c r="C1631" t="s">
        <v>62</v>
      </c>
      <c r="D1631" t="s">
        <v>33</v>
      </c>
      <c r="E1631" t="s">
        <v>34</v>
      </c>
      <c r="F1631" t="str">
        <f>"0001944"</f>
        <v>0001944</v>
      </c>
      <c r="G1631">
        <v>1</v>
      </c>
      <c r="H1631" t="str">
        <f>"00000000"</f>
        <v>00000000</v>
      </c>
      <c r="I1631" t="s">
        <v>35</v>
      </c>
      <c r="J1631"/>
      <c r="K1631">
        <v>26.72</v>
      </c>
      <c r="L1631">
        <v>0.0</v>
      </c>
      <c r="M1631"/>
      <c r="N1631"/>
      <c r="O1631">
        <v>4.81</v>
      </c>
      <c r="P1631">
        <v>0.4</v>
      </c>
      <c r="Q1631">
        <v>31.93</v>
      </c>
      <c r="R1631"/>
      <c r="S1631"/>
      <c r="T1631"/>
      <c r="U1631"/>
      <c r="V1631"/>
      <c r="W1631">
        <v>18</v>
      </c>
    </row>
    <row r="1632" spans="1:23">
      <c r="A1632"/>
      <c r="B1632" t="s">
        <v>62</v>
      </c>
      <c r="C1632" t="s">
        <v>62</v>
      </c>
      <c r="D1632" t="s">
        <v>33</v>
      </c>
      <c r="E1632" t="s">
        <v>34</v>
      </c>
      <c r="F1632" t="str">
        <f>"0001945"</f>
        <v>0001945</v>
      </c>
      <c r="G1632">
        <v>1</v>
      </c>
      <c r="H1632" t="str">
        <f>"00000000"</f>
        <v>00000000</v>
      </c>
      <c r="I1632" t="s">
        <v>35</v>
      </c>
      <c r="J1632"/>
      <c r="K1632">
        <v>5.59</v>
      </c>
      <c r="L1632">
        <v>0.0</v>
      </c>
      <c r="M1632"/>
      <c r="N1632"/>
      <c r="O1632">
        <v>1.01</v>
      </c>
      <c r="P1632">
        <v>0.0</v>
      </c>
      <c r="Q1632">
        <v>6.6</v>
      </c>
      <c r="R1632"/>
      <c r="S1632"/>
      <c r="T1632"/>
      <c r="U1632"/>
      <c r="V1632"/>
      <c r="W1632">
        <v>18</v>
      </c>
    </row>
    <row r="1633" spans="1:23">
      <c r="A1633"/>
      <c r="B1633" t="s">
        <v>62</v>
      </c>
      <c r="C1633" t="s">
        <v>62</v>
      </c>
      <c r="D1633" t="s">
        <v>33</v>
      </c>
      <c r="E1633" t="s">
        <v>34</v>
      </c>
      <c r="F1633" t="str">
        <f>"0001946"</f>
        <v>0001946</v>
      </c>
      <c r="G1633">
        <v>1</v>
      </c>
      <c r="H1633" t="str">
        <f>"00000000"</f>
        <v>00000000</v>
      </c>
      <c r="I1633" t="s">
        <v>35</v>
      </c>
      <c r="J1633"/>
      <c r="K1633">
        <v>7.58</v>
      </c>
      <c r="L1633">
        <v>0.0</v>
      </c>
      <c r="M1633"/>
      <c r="N1633"/>
      <c r="O1633">
        <v>1.36</v>
      </c>
      <c r="P1633">
        <v>0.0</v>
      </c>
      <c r="Q1633">
        <v>8.95</v>
      </c>
      <c r="R1633"/>
      <c r="S1633"/>
      <c r="T1633"/>
      <c r="U1633"/>
      <c r="V1633"/>
      <c r="W1633">
        <v>18</v>
      </c>
    </row>
    <row r="1634" spans="1:23">
      <c r="A1634"/>
      <c r="B1634" t="s">
        <v>62</v>
      </c>
      <c r="C1634" t="s">
        <v>62</v>
      </c>
      <c r="D1634" t="s">
        <v>33</v>
      </c>
      <c r="E1634" t="s">
        <v>34</v>
      </c>
      <c r="F1634" t="str">
        <f>"0001947"</f>
        <v>0001947</v>
      </c>
      <c r="G1634">
        <v>1</v>
      </c>
      <c r="H1634" t="str">
        <f>"00000000"</f>
        <v>00000000</v>
      </c>
      <c r="I1634" t="s">
        <v>35</v>
      </c>
      <c r="J1634"/>
      <c r="K1634">
        <v>11.8</v>
      </c>
      <c r="L1634">
        <v>0.0</v>
      </c>
      <c r="M1634"/>
      <c r="N1634"/>
      <c r="O1634">
        <v>2.12</v>
      </c>
      <c r="P1634">
        <v>0.2</v>
      </c>
      <c r="Q1634">
        <v>14.12</v>
      </c>
      <c r="R1634"/>
      <c r="S1634"/>
      <c r="T1634"/>
      <c r="U1634"/>
      <c r="V1634"/>
      <c r="W1634">
        <v>18</v>
      </c>
    </row>
    <row r="1635" spans="1:23">
      <c r="A1635"/>
      <c r="B1635" t="s">
        <v>62</v>
      </c>
      <c r="C1635" t="s">
        <v>62</v>
      </c>
      <c r="D1635" t="s">
        <v>33</v>
      </c>
      <c r="E1635" t="s">
        <v>34</v>
      </c>
      <c r="F1635" t="str">
        <f>"0001948"</f>
        <v>0001948</v>
      </c>
      <c r="G1635">
        <v>1</v>
      </c>
      <c r="H1635" t="str">
        <f>"00000000"</f>
        <v>00000000</v>
      </c>
      <c r="I1635" t="s">
        <v>35</v>
      </c>
      <c r="J1635"/>
      <c r="K1635">
        <v>18.74</v>
      </c>
      <c r="L1635">
        <v>0.0</v>
      </c>
      <c r="M1635"/>
      <c r="N1635"/>
      <c r="O1635">
        <v>3.37</v>
      </c>
      <c r="P1635">
        <v>0.2</v>
      </c>
      <c r="Q1635">
        <v>22.31</v>
      </c>
      <c r="R1635"/>
      <c r="S1635"/>
      <c r="T1635"/>
      <c r="U1635"/>
      <c r="V1635"/>
      <c r="W1635">
        <v>18</v>
      </c>
    </row>
    <row r="1636" spans="1:23">
      <c r="A1636"/>
      <c r="B1636" t="s">
        <v>62</v>
      </c>
      <c r="C1636" t="s">
        <v>62</v>
      </c>
      <c r="D1636" t="s">
        <v>33</v>
      </c>
      <c r="E1636" t="s">
        <v>34</v>
      </c>
      <c r="F1636" t="str">
        <f>"0001949"</f>
        <v>0001949</v>
      </c>
      <c r="G1636">
        <v>1</v>
      </c>
      <c r="H1636" t="str">
        <f>"00000000"</f>
        <v>00000000</v>
      </c>
      <c r="I1636" t="s">
        <v>35</v>
      </c>
      <c r="J1636"/>
      <c r="K1636">
        <v>10.17</v>
      </c>
      <c r="L1636">
        <v>0.0</v>
      </c>
      <c r="M1636"/>
      <c r="N1636"/>
      <c r="O1636">
        <v>1.83</v>
      </c>
      <c r="P1636">
        <v>0.0</v>
      </c>
      <c r="Q1636">
        <v>12.0</v>
      </c>
      <c r="R1636"/>
      <c r="S1636"/>
      <c r="T1636"/>
      <c r="U1636"/>
      <c r="V1636"/>
      <c r="W1636">
        <v>18</v>
      </c>
    </row>
    <row r="1637" spans="1:23">
      <c r="A1637"/>
      <c r="B1637" t="s">
        <v>62</v>
      </c>
      <c r="C1637" t="s">
        <v>62</v>
      </c>
      <c r="D1637" t="s">
        <v>33</v>
      </c>
      <c r="E1637" t="s">
        <v>34</v>
      </c>
      <c r="F1637" t="str">
        <f>"0001950"</f>
        <v>0001950</v>
      </c>
      <c r="G1637">
        <v>1</v>
      </c>
      <c r="H1637" t="str">
        <f>"00000000"</f>
        <v>00000000</v>
      </c>
      <c r="I1637" t="s">
        <v>35</v>
      </c>
      <c r="J1637"/>
      <c r="K1637">
        <v>27.8</v>
      </c>
      <c r="L1637">
        <v>0.0</v>
      </c>
      <c r="M1637"/>
      <c r="N1637"/>
      <c r="O1637">
        <v>5.0</v>
      </c>
      <c r="P1637">
        <v>0.0</v>
      </c>
      <c r="Q1637">
        <v>32.8</v>
      </c>
      <c r="R1637"/>
      <c r="S1637"/>
      <c r="T1637"/>
      <c r="U1637"/>
      <c r="V1637"/>
      <c r="W1637">
        <v>18</v>
      </c>
    </row>
    <row r="1638" spans="1:23">
      <c r="A1638"/>
      <c r="B1638" t="s">
        <v>62</v>
      </c>
      <c r="C1638" t="s">
        <v>62</v>
      </c>
      <c r="D1638" t="s">
        <v>33</v>
      </c>
      <c r="E1638" t="s">
        <v>34</v>
      </c>
      <c r="F1638" t="str">
        <f>"0001951"</f>
        <v>0001951</v>
      </c>
      <c r="G1638">
        <v>1</v>
      </c>
      <c r="H1638" t="str">
        <f>"00000000"</f>
        <v>00000000</v>
      </c>
      <c r="I1638" t="s">
        <v>35</v>
      </c>
      <c r="J1638"/>
      <c r="K1638">
        <v>135.87</v>
      </c>
      <c r="L1638">
        <v>0.0</v>
      </c>
      <c r="M1638"/>
      <c r="N1638"/>
      <c r="O1638">
        <v>24.46</v>
      </c>
      <c r="P1638">
        <v>0.8</v>
      </c>
      <c r="Q1638">
        <v>161.13</v>
      </c>
      <c r="R1638"/>
      <c r="S1638"/>
      <c r="T1638"/>
      <c r="U1638"/>
      <c r="V1638"/>
      <c r="W1638">
        <v>18</v>
      </c>
    </row>
    <row r="1639" spans="1:23">
      <c r="A1639"/>
      <c r="B1639" t="s">
        <v>62</v>
      </c>
      <c r="C1639" t="s">
        <v>62</v>
      </c>
      <c r="D1639" t="s">
        <v>33</v>
      </c>
      <c r="E1639" t="s">
        <v>34</v>
      </c>
      <c r="F1639" t="str">
        <f>"0001952"</f>
        <v>0001952</v>
      </c>
      <c r="G1639">
        <v>1</v>
      </c>
      <c r="H1639" t="str">
        <f>"00000000"</f>
        <v>00000000</v>
      </c>
      <c r="I1639" t="s">
        <v>35</v>
      </c>
      <c r="J1639"/>
      <c r="K1639">
        <v>5.49</v>
      </c>
      <c r="L1639">
        <v>0.0</v>
      </c>
      <c r="M1639"/>
      <c r="N1639"/>
      <c r="O1639">
        <v>0.99</v>
      </c>
      <c r="P1639">
        <v>0.0</v>
      </c>
      <c r="Q1639">
        <v>6.48</v>
      </c>
      <c r="R1639"/>
      <c r="S1639"/>
      <c r="T1639"/>
      <c r="U1639"/>
      <c r="V1639"/>
      <c r="W1639">
        <v>18</v>
      </c>
    </row>
    <row r="1640" spans="1:23">
      <c r="A1640"/>
      <c r="B1640" t="s">
        <v>62</v>
      </c>
      <c r="C1640" t="s">
        <v>62</v>
      </c>
      <c r="D1640" t="s">
        <v>33</v>
      </c>
      <c r="E1640" t="s">
        <v>34</v>
      </c>
      <c r="F1640" t="str">
        <f>"0001953"</f>
        <v>0001953</v>
      </c>
      <c r="G1640">
        <v>1</v>
      </c>
      <c r="H1640" t="str">
        <f>"00000000"</f>
        <v>00000000</v>
      </c>
      <c r="I1640" t="s">
        <v>35</v>
      </c>
      <c r="J1640"/>
      <c r="K1640">
        <v>7.1</v>
      </c>
      <c r="L1640">
        <v>0.0</v>
      </c>
      <c r="M1640"/>
      <c r="N1640"/>
      <c r="O1640">
        <v>1.28</v>
      </c>
      <c r="P1640">
        <v>0.0</v>
      </c>
      <c r="Q1640">
        <v>8.38</v>
      </c>
      <c r="R1640"/>
      <c r="S1640"/>
      <c r="T1640"/>
      <c r="U1640"/>
      <c r="V1640"/>
      <c r="W1640">
        <v>18</v>
      </c>
    </row>
    <row r="1641" spans="1:23">
      <c r="A1641"/>
      <c r="B1641" t="s">
        <v>62</v>
      </c>
      <c r="C1641" t="s">
        <v>62</v>
      </c>
      <c r="D1641" t="s">
        <v>36</v>
      </c>
      <c r="E1641" t="s">
        <v>37</v>
      </c>
      <c r="F1641" t="str">
        <f>"0000032"</f>
        <v>0000032</v>
      </c>
      <c r="G1641">
        <v>6</v>
      </c>
      <c r="H1641" t="str">
        <f>"20547236875"</f>
        <v>20547236875</v>
      </c>
      <c r="I1641" t="s">
        <v>44</v>
      </c>
      <c r="J1641"/>
      <c r="K1641">
        <v>35.18</v>
      </c>
      <c r="L1641">
        <v>0.0</v>
      </c>
      <c r="M1641"/>
      <c r="N1641"/>
      <c r="O1641">
        <v>6.33</v>
      </c>
      <c r="P1641">
        <v>0.0</v>
      </c>
      <c r="Q1641">
        <v>41.52</v>
      </c>
      <c r="R1641"/>
      <c r="S1641"/>
      <c r="T1641"/>
      <c r="U1641"/>
      <c r="V1641"/>
      <c r="W1641">
        <v>18</v>
      </c>
    </row>
    <row r="1642" spans="1:23">
      <c r="A1642"/>
      <c r="B1642" t="s">
        <v>62</v>
      </c>
      <c r="C1642" t="s">
        <v>62</v>
      </c>
      <c r="D1642" t="s">
        <v>33</v>
      </c>
      <c r="E1642" t="s">
        <v>34</v>
      </c>
      <c r="F1642" t="str">
        <f>"0001954"</f>
        <v>0001954</v>
      </c>
      <c r="G1642">
        <v>1</v>
      </c>
      <c r="H1642" t="str">
        <f>"00000000"</f>
        <v>00000000</v>
      </c>
      <c r="I1642" t="s">
        <v>35</v>
      </c>
      <c r="J1642"/>
      <c r="K1642">
        <v>81.1</v>
      </c>
      <c r="L1642">
        <v>0.0</v>
      </c>
      <c r="M1642"/>
      <c r="N1642"/>
      <c r="O1642">
        <v>14.6</v>
      </c>
      <c r="P1642">
        <v>0.2</v>
      </c>
      <c r="Q1642">
        <v>95.9</v>
      </c>
      <c r="R1642"/>
      <c r="S1642"/>
      <c r="T1642"/>
      <c r="U1642"/>
      <c r="V1642"/>
      <c r="W1642">
        <v>18</v>
      </c>
    </row>
    <row r="1643" spans="1:23">
      <c r="A1643"/>
      <c r="B1643" t="s">
        <v>62</v>
      </c>
      <c r="C1643" t="s">
        <v>62</v>
      </c>
      <c r="D1643" t="s">
        <v>33</v>
      </c>
      <c r="E1643" t="s">
        <v>34</v>
      </c>
      <c r="F1643" t="str">
        <f>"0001955"</f>
        <v>0001955</v>
      </c>
      <c r="G1643">
        <v>1</v>
      </c>
      <c r="H1643" t="str">
        <f>"00000000"</f>
        <v>00000000</v>
      </c>
      <c r="I1643" t="s">
        <v>35</v>
      </c>
      <c r="J1643"/>
      <c r="K1643">
        <v>4.07</v>
      </c>
      <c r="L1643">
        <v>0.0</v>
      </c>
      <c r="M1643"/>
      <c r="N1643"/>
      <c r="O1643">
        <v>0.73</v>
      </c>
      <c r="P1643">
        <v>0.0</v>
      </c>
      <c r="Q1643">
        <v>4.8</v>
      </c>
      <c r="R1643"/>
      <c r="S1643"/>
      <c r="T1643"/>
      <c r="U1643"/>
      <c r="V1643"/>
      <c r="W1643">
        <v>18</v>
      </c>
    </row>
    <row r="1644" spans="1:23">
      <c r="A1644"/>
      <c r="B1644" t="s">
        <v>62</v>
      </c>
      <c r="C1644" t="s">
        <v>62</v>
      </c>
      <c r="D1644" t="s">
        <v>33</v>
      </c>
      <c r="E1644" t="s">
        <v>34</v>
      </c>
      <c r="F1644" t="str">
        <f>"0001956"</f>
        <v>0001956</v>
      </c>
      <c r="G1644">
        <v>1</v>
      </c>
      <c r="H1644" t="str">
        <f>"00000000"</f>
        <v>00000000</v>
      </c>
      <c r="I1644" t="s">
        <v>35</v>
      </c>
      <c r="J1644"/>
      <c r="K1644">
        <v>15.34</v>
      </c>
      <c r="L1644">
        <v>0.0</v>
      </c>
      <c r="M1644"/>
      <c r="N1644"/>
      <c r="O1644">
        <v>2.76</v>
      </c>
      <c r="P1644">
        <v>0.2</v>
      </c>
      <c r="Q1644">
        <v>18.3</v>
      </c>
      <c r="R1644"/>
      <c r="S1644"/>
      <c r="T1644"/>
      <c r="U1644"/>
      <c r="V1644"/>
      <c r="W1644">
        <v>18</v>
      </c>
    </row>
    <row r="1645" spans="1:23">
      <c r="A1645"/>
      <c r="B1645" t="s">
        <v>62</v>
      </c>
      <c r="C1645" t="s">
        <v>62</v>
      </c>
      <c r="D1645" t="s">
        <v>33</v>
      </c>
      <c r="E1645" t="s">
        <v>34</v>
      </c>
      <c r="F1645" t="str">
        <f>"0001957"</f>
        <v>0001957</v>
      </c>
      <c r="G1645">
        <v>1</v>
      </c>
      <c r="H1645" t="str">
        <f>"00000000"</f>
        <v>00000000</v>
      </c>
      <c r="I1645" t="s">
        <v>35</v>
      </c>
      <c r="J1645"/>
      <c r="K1645">
        <v>14.75</v>
      </c>
      <c r="L1645">
        <v>0.0</v>
      </c>
      <c r="M1645"/>
      <c r="N1645"/>
      <c r="O1645">
        <v>2.65</v>
      </c>
      <c r="P1645">
        <v>0.0</v>
      </c>
      <c r="Q1645">
        <v>17.4</v>
      </c>
      <c r="R1645"/>
      <c r="S1645"/>
      <c r="T1645"/>
      <c r="U1645"/>
      <c r="V1645"/>
      <c r="W1645">
        <v>18</v>
      </c>
    </row>
    <row r="1646" spans="1:23">
      <c r="A1646"/>
      <c r="B1646" t="s">
        <v>62</v>
      </c>
      <c r="C1646" t="s">
        <v>62</v>
      </c>
      <c r="D1646" t="s">
        <v>33</v>
      </c>
      <c r="E1646" t="s">
        <v>34</v>
      </c>
      <c r="F1646" t="str">
        <f>"0001958"</f>
        <v>0001958</v>
      </c>
      <c r="G1646">
        <v>1</v>
      </c>
      <c r="H1646" t="str">
        <f>"00000000"</f>
        <v>00000000</v>
      </c>
      <c r="I1646" t="s">
        <v>35</v>
      </c>
      <c r="J1646"/>
      <c r="K1646">
        <v>8.39</v>
      </c>
      <c r="L1646">
        <v>0.0</v>
      </c>
      <c r="M1646"/>
      <c r="N1646"/>
      <c r="O1646">
        <v>1.51</v>
      </c>
      <c r="P1646">
        <v>0.0</v>
      </c>
      <c r="Q1646">
        <v>9.9</v>
      </c>
      <c r="R1646"/>
      <c r="S1646"/>
      <c r="T1646"/>
      <c r="U1646"/>
      <c r="V1646"/>
      <c r="W1646">
        <v>18</v>
      </c>
    </row>
    <row r="1647" spans="1:23">
      <c r="A1647"/>
      <c r="B1647" t="s">
        <v>62</v>
      </c>
      <c r="C1647" t="s">
        <v>62</v>
      </c>
      <c r="D1647" t="s">
        <v>33</v>
      </c>
      <c r="E1647" t="s">
        <v>34</v>
      </c>
      <c r="F1647" t="str">
        <f>"0001959"</f>
        <v>0001959</v>
      </c>
      <c r="G1647">
        <v>1</v>
      </c>
      <c r="H1647" t="str">
        <f>"00000000"</f>
        <v>00000000</v>
      </c>
      <c r="I1647" t="s">
        <v>35</v>
      </c>
      <c r="J1647"/>
      <c r="K1647">
        <v>4.57</v>
      </c>
      <c r="L1647">
        <v>0.0</v>
      </c>
      <c r="M1647"/>
      <c r="N1647"/>
      <c r="O1647">
        <v>0.82</v>
      </c>
      <c r="P1647">
        <v>0.2</v>
      </c>
      <c r="Q1647">
        <v>5.6</v>
      </c>
      <c r="R1647"/>
      <c r="S1647"/>
      <c r="T1647"/>
      <c r="U1647"/>
      <c r="V1647"/>
      <c r="W1647">
        <v>18</v>
      </c>
    </row>
    <row r="1648" spans="1:23">
      <c r="A1648"/>
      <c r="B1648" t="s">
        <v>62</v>
      </c>
      <c r="C1648" t="s">
        <v>62</v>
      </c>
      <c r="D1648" t="s">
        <v>33</v>
      </c>
      <c r="E1648" t="s">
        <v>34</v>
      </c>
      <c r="F1648" t="str">
        <f>"0001960"</f>
        <v>0001960</v>
      </c>
      <c r="G1648">
        <v>1</v>
      </c>
      <c r="H1648" t="str">
        <f>"00000000"</f>
        <v>00000000</v>
      </c>
      <c r="I1648" t="s">
        <v>35</v>
      </c>
      <c r="J1648"/>
      <c r="K1648">
        <v>2.46</v>
      </c>
      <c r="L1648">
        <v>0.0</v>
      </c>
      <c r="M1648"/>
      <c r="N1648"/>
      <c r="O1648">
        <v>0.44</v>
      </c>
      <c r="P1648">
        <v>0.0</v>
      </c>
      <c r="Q1648">
        <v>2.9</v>
      </c>
      <c r="R1648"/>
      <c r="S1648"/>
      <c r="T1648"/>
      <c r="U1648"/>
      <c r="V1648"/>
      <c r="W1648">
        <v>18</v>
      </c>
    </row>
    <row r="1649" spans="1:23">
      <c r="A1649"/>
      <c r="B1649" t="s">
        <v>62</v>
      </c>
      <c r="C1649" t="s">
        <v>62</v>
      </c>
      <c r="D1649" t="s">
        <v>33</v>
      </c>
      <c r="E1649" t="s">
        <v>34</v>
      </c>
      <c r="F1649" t="str">
        <f>"0001961"</f>
        <v>0001961</v>
      </c>
      <c r="G1649">
        <v>1</v>
      </c>
      <c r="H1649" t="str">
        <f>"00000000"</f>
        <v>00000000</v>
      </c>
      <c r="I1649" t="s">
        <v>35</v>
      </c>
      <c r="J1649"/>
      <c r="K1649">
        <v>24.06</v>
      </c>
      <c r="L1649">
        <v>0.0</v>
      </c>
      <c r="M1649"/>
      <c r="N1649"/>
      <c r="O1649">
        <v>4.33</v>
      </c>
      <c r="P1649">
        <v>0.2</v>
      </c>
      <c r="Q1649">
        <v>28.59</v>
      </c>
      <c r="R1649"/>
      <c r="S1649"/>
      <c r="T1649"/>
      <c r="U1649"/>
      <c r="V1649"/>
      <c r="W1649">
        <v>18</v>
      </c>
    </row>
    <row r="1650" spans="1:23">
      <c r="A1650"/>
      <c r="B1650" t="s">
        <v>62</v>
      </c>
      <c r="C1650" t="s">
        <v>62</v>
      </c>
      <c r="D1650" t="s">
        <v>33</v>
      </c>
      <c r="E1650" t="s">
        <v>34</v>
      </c>
      <c r="F1650" t="str">
        <f>"0001962"</f>
        <v>0001962</v>
      </c>
      <c r="G1650">
        <v>1</v>
      </c>
      <c r="H1650" t="str">
        <f>"00000000"</f>
        <v>00000000</v>
      </c>
      <c r="I1650" t="s">
        <v>35</v>
      </c>
      <c r="J1650"/>
      <c r="K1650">
        <v>8.3</v>
      </c>
      <c r="L1650">
        <v>0.0</v>
      </c>
      <c r="M1650"/>
      <c r="N1650"/>
      <c r="O1650">
        <v>1.49</v>
      </c>
      <c r="P1650">
        <v>0.0</v>
      </c>
      <c r="Q1650">
        <v>9.8</v>
      </c>
      <c r="R1650"/>
      <c r="S1650"/>
      <c r="T1650"/>
      <c r="U1650"/>
      <c r="V1650"/>
      <c r="W1650">
        <v>18</v>
      </c>
    </row>
    <row r="1651" spans="1:23">
      <c r="A1651"/>
      <c r="B1651" t="s">
        <v>62</v>
      </c>
      <c r="C1651" t="s">
        <v>62</v>
      </c>
      <c r="D1651" t="s">
        <v>33</v>
      </c>
      <c r="E1651" t="s">
        <v>34</v>
      </c>
      <c r="F1651" t="str">
        <f>"0001963"</f>
        <v>0001963</v>
      </c>
      <c r="G1651">
        <v>1</v>
      </c>
      <c r="H1651" t="str">
        <f>"00000000"</f>
        <v>00000000</v>
      </c>
      <c r="I1651" t="s">
        <v>35</v>
      </c>
      <c r="J1651"/>
      <c r="K1651">
        <v>6.0</v>
      </c>
      <c r="L1651">
        <v>0.0</v>
      </c>
      <c r="M1651"/>
      <c r="N1651"/>
      <c r="O1651">
        <v>1.08</v>
      </c>
      <c r="P1651">
        <v>0.0</v>
      </c>
      <c r="Q1651">
        <v>7.08</v>
      </c>
      <c r="R1651"/>
      <c r="S1651"/>
      <c r="T1651"/>
      <c r="U1651"/>
      <c r="V1651"/>
      <c r="W1651">
        <v>18</v>
      </c>
    </row>
    <row r="1652" spans="1:23">
      <c r="A1652"/>
      <c r="B1652" t="s">
        <v>62</v>
      </c>
      <c r="C1652" t="s">
        <v>62</v>
      </c>
      <c r="D1652" t="s">
        <v>33</v>
      </c>
      <c r="E1652" t="s">
        <v>34</v>
      </c>
      <c r="F1652" t="str">
        <f>"0001964"</f>
        <v>0001964</v>
      </c>
      <c r="G1652">
        <v>1</v>
      </c>
      <c r="H1652" t="str">
        <f>"00000000"</f>
        <v>00000000</v>
      </c>
      <c r="I1652" t="s">
        <v>35</v>
      </c>
      <c r="J1652"/>
      <c r="K1652">
        <v>16.61</v>
      </c>
      <c r="L1652">
        <v>0.0</v>
      </c>
      <c r="M1652"/>
      <c r="N1652"/>
      <c r="O1652">
        <v>2.99</v>
      </c>
      <c r="P1652">
        <v>0.2</v>
      </c>
      <c r="Q1652">
        <v>19.8</v>
      </c>
      <c r="R1652"/>
      <c r="S1652"/>
      <c r="T1652"/>
      <c r="U1652"/>
      <c r="V1652"/>
      <c r="W1652">
        <v>18</v>
      </c>
    </row>
    <row r="1653" spans="1:23">
      <c r="A1653"/>
      <c r="B1653" t="s">
        <v>62</v>
      </c>
      <c r="C1653" t="s">
        <v>62</v>
      </c>
      <c r="D1653" t="s">
        <v>33</v>
      </c>
      <c r="E1653" t="s">
        <v>34</v>
      </c>
      <c r="F1653" t="str">
        <f>"0001965"</f>
        <v>0001965</v>
      </c>
      <c r="G1653">
        <v>1</v>
      </c>
      <c r="H1653" t="str">
        <f>"00000000"</f>
        <v>00000000</v>
      </c>
      <c r="I1653" t="s">
        <v>35</v>
      </c>
      <c r="J1653"/>
      <c r="K1653">
        <v>2.03</v>
      </c>
      <c r="L1653">
        <v>0.0</v>
      </c>
      <c r="M1653"/>
      <c r="N1653"/>
      <c r="O1653">
        <v>0.37</v>
      </c>
      <c r="P1653">
        <v>0.0</v>
      </c>
      <c r="Q1653">
        <v>2.4</v>
      </c>
      <c r="R1653"/>
      <c r="S1653"/>
      <c r="T1653"/>
      <c r="U1653"/>
      <c r="V1653"/>
      <c r="W1653">
        <v>18</v>
      </c>
    </row>
    <row r="1654" spans="1:23">
      <c r="A1654"/>
      <c r="B1654" t="s">
        <v>62</v>
      </c>
      <c r="C1654" t="s">
        <v>62</v>
      </c>
      <c r="D1654" t="s">
        <v>33</v>
      </c>
      <c r="E1654" t="s">
        <v>34</v>
      </c>
      <c r="F1654" t="str">
        <f>"0001966"</f>
        <v>0001966</v>
      </c>
      <c r="G1654">
        <v>1</v>
      </c>
      <c r="H1654" t="str">
        <f>"00000000"</f>
        <v>00000000</v>
      </c>
      <c r="I1654" t="s">
        <v>35</v>
      </c>
      <c r="J1654"/>
      <c r="K1654">
        <v>5.44</v>
      </c>
      <c r="L1654">
        <v>0.0</v>
      </c>
      <c r="M1654"/>
      <c r="N1654"/>
      <c r="O1654">
        <v>0.98</v>
      </c>
      <c r="P1654">
        <v>0.0</v>
      </c>
      <c r="Q1654">
        <v>6.42</v>
      </c>
      <c r="R1654"/>
      <c r="S1654"/>
      <c r="T1654"/>
      <c r="U1654"/>
      <c r="V1654"/>
      <c r="W1654">
        <v>18</v>
      </c>
    </row>
    <row r="1655" spans="1:23">
      <c r="A1655"/>
      <c r="B1655" t="s">
        <v>62</v>
      </c>
      <c r="C1655" t="s">
        <v>62</v>
      </c>
      <c r="D1655" t="s">
        <v>33</v>
      </c>
      <c r="E1655" t="s">
        <v>34</v>
      </c>
      <c r="F1655" t="str">
        <f>"0001967"</f>
        <v>0001967</v>
      </c>
      <c r="G1655">
        <v>1</v>
      </c>
      <c r="H1655" t="str">
        <f>"00000000"</f>
        <v>00000000</v>
      </c>
      <c r="I1655" t="s">
        <v>35</v>
      </c>
      <c r="J1655"/>
      <c r="K1655">
        <v>37.31</v>
      </c>
      <c r="L1655">
        <v>0.0</v>
      </c>
      <c r="M1655"/>
      <c r="N1655"/>
      <c r="O1655">
        <v>6.72</v>
      </c>
      <c r="P1655">
        <v>0.2</v>
      </c>
      <c r="Q1655">
        <v>44.23</v>
      </c>
      <c r="R1655"/>
      <c r="S1655"/>
      <c r="T1655"/>
      <c r="U1655"/>
      <c r="V1655"/>
      <c r="W1655">
        <v>18</v>
      </c>
    </row>
    <row r="1656" spans="1:23">
      <c r="A1656"/>
      <c r="B1656" t="s">
        <v>62</v>
      </c>
      <c r="C1656" t="s">
        <v>62</v>
      </c>
      <c r="D1656" t="s">
        <v>33</v>
      </c>
      <c r="E1656" t="s">
        <v>34</v>
      </c>
      <c r="F1656" t="str">
        <f>"0001968"</f>
        <v>0001968</v>
      </c>
      <c r="G1656">
        <v>1</v>
      </c>
      <c r="H1656" t="str">
        <f>"00000000"</f>
        <v>00000000</v>
      </c>
      <c r="I1656" t="s">
        <v>35</v>
      </c>
      <c r="J1656"/>
      <c r="K1656">
        <v>5.08</v>
      </c>
      <c r="L1656">
        <v>0.0</v>
      </c>
      <c r="M1656"/>
      <c r="N1656"/>
      <c r="O1656">
        <v>0.92</v>
      </c>
      <c r="P1656">
        <v>0.0</v>
      </c>
      <c r="Q1656">
        <v>6.0</v>
      </c>
      <c r="R1656"/>
      <c r="S1656"/>
      <c r="T1656"/>
      <c r="U1656"/>
      <c r="V1656"/>
      <c r="W1656">
        <v>18</v>
      </c>
    </row>
    <row r="1657" spans="1:23">
      <c r="A1657"/>
      <c r="B1657" t="s">
        <v>62</v>
      </c>
      <c r="C1657" t="s">
        <v>62</v>
      </c>
      <c r="D1657" t="s">
        <v>33</v>
      </c>
      <c r="E1657" t="s">
        <v>34</v>
      </c>
      <c r="F1657" t="str">
        <f>"0001969"</f>
        <v>0001969</v>
      </c>
      <c r="G1657">
        <v>1</v>
      </c>
      <c r="H1657" t="str">
        <f>"00000000"</f>
        <v>00000000</v>
      </c>
      <c r="I1657" t="s">
        <v>35</v>
      </c>
      <c r="J1657"/>
      <c r="K1657">
        <v>2.46</v>
      </c>
      <c r="L1657">
        <v>0.0</v>
      </c>
      <c r="M1657"/>
      <c r="N1657"/>
      <c r="O1657">
        <v>0.44</v>
      </c>
      <c r="P1657">
        <v>0.0</v>
      </c>
      <c r="Q1657">
        <v>2.9</v>
      </c>
      <c r="R1657"/>
      <c r="S1657"/>
      <c r="T1657"/>
      <c r="U1657"/>
      <c r="V1657"/>
      <c r="W1657">
        <v>18</v>
      </c>
    </row>
    <row r="1658" spans="1:23">
      <c r="A1658"/>
      <c r="B1658" t="s">
        <v>62</v>
      </c>
      <c r="C1658" t="s">
        <v>62</v>
      </c>
      <c r="D1658" t="s">
        <v>33</v>
      </c>
      <c r="E1658" t="s">
        <v>34</v>
      </c>
      <c r="F1658" t="str">
        <f>"0001970"</f>
        <v>0001970</v>
      </c>
      <c r="G1658">
        <v>1</v>
      </c>
      <c r="H1658" t="str">
        <f>"00000000"</f>
        <v>00000000</v>
      </c>
      <c r="I1658" t="s">
        <v>35</v>
      </c>
      <c r="J1658"/>
      <c r="K1658">
        <v>3.64</v>
      </c>
      <c r="L1658">
        <v>0.0</v>
      </c>
      <c r="M1658"/>
      <c r="N1658"/>
      <c r="O1658">
        <v>0.66</v>
      </c>
      <c r="P1658">
        <v>0.0</v>
      </c>
      <c r="Q1658">
        <v>4.3</v>
      </c>
      <c r="R1658"/>
      <c r="S1658"/>
      <c r="T1658"/>
      <c r="U1658"/>
      <c r="V1658"/>
      <c r="W1658">
        <v>18</v>
      </c>
    </row>
    <row r="1659" spans="1:23">
      <c r="A1659"/>
      <c r="B1659" t="s">
        <v>62</v>
      </c>
      <c r="C1659" t="s">
        <v>62</v>
      </c>
      <c r="D1659" t="s">
        <v>33</v>
      </c>
      <c r="E1659" t="s">
        <v>34</v>
      </c>
      <c r="F1659" t="str">
        <f>"0001971"</f>
        <v>0001971</v>
      </c>
      <c r="G1659">
        <v>1</v>
      </c>
      <c r="H1659" t="str">
        <f>"00000000"</f>
        <v>00000000</v>
      </c>
      <c r="I1659" t="s">
        <v>35</v>
      </c>
      <c r="J1659"/>
      <c r="K1659">
        <v>74.57</v>
      </c>
      <c r="L1659">
        <v>0.0</v>
      </c>
      <c r="M1659"/>
      <c r="N1659"/>
      <c r="O1659">
        <v>13.42</v>
      </c>
      <c r="P1659">
        <v>0.0</v>
      </c>
      <c r="Q1659">
        <v>88.0</v>
      </c>
      <c r="R1659"/>
      <c r="S1659"/>
      <c r="T1659"/>
      <c r="U1659"/>
      <c r="V1659"/>
      <c r="W1659">
        <v>18</v>
      </c>
    </row>
    <row r="1660" spans="1:23">
      <c r="A1660"/>
      <c r="B1660" t="s">
        <v>62</v>
      </c>
      <c r="C1660" t="s">
        <v>62</v>
      </c>
      <c r="D1660" t="s">
        <v>33</v>
      </c>
      <c r="E1660" t="s">
        <v>34</v>
      </c>
      <c r="F1660" t="str">
        <f>"0001972"</f>
        <v>0001972</v>
      </c>
      <c r="G1660">
        <v>1</v>
      </c>
      <c r="H1660" t="str">
        <f>"00000000"</f>
        <v>00000000</v>
      </c>
      <c r="I1660" t="s">
        <v>35</v>
      </c>
      <c r="J1660"/>
      <c r="K1660">
        <v>3.47</v>
      </c>
      <c r="L1660">
        <v>0.0</v>
      </c>
      <c r="M1660"/>
      <c r="N1660"/>
      <c r="O1660">
        <v>0.63</v>
      </c>
      <c r="P1660">
        <v>0.0</v>
      </c>
      <c r="Q1660">
        <v>4.1</v>
      </c>
      <c r="R1660"/>
      <c r="S1660"/>
      <c r="T1660"/>
      <c r="U1660"/>
      <c r="V1660"/>
      <c r="W1660">
        <v>18</v>
      </c>
    </row>
    <row r="1661" spans="1:23">
      <c r="A1661"/>
      <c r="B1661" t="s">
        <v>62</v>
      </c>
      <c r="C1661" t="s">
        <v>62</v>
      </c>
      <c r="D1661" t="s">
        <v>33</v>
      </c>
      <c r="E1661" t="s">
        <v>34</v>
      </c>
      <c r="F1661" t="str">
        <f>"0001973"</f>
        <v>0001973</v>
      </c>
      <c r="G1661">
        <v>1</v>
      </c>
      <c r="H1661" t="str">
        <f>"00000000"</f>
        <v>00000000</v>
      </c>
      <c r="I1661" t="s">
        <v>35</v>
      </c>
      <c r="J1661"/>
      <c r="K1661">
        <v>17.84</v>
      </c>
      <c r="L1661">
        <v>0.0</v>
      </c>
      <c r="M1661"/>
      <c r="N1661"/>
      <c r="O1661">
        <v>3.21</v>
      </c>
      <c r="P1661">
        <v>0.2</v>
      </c>
      <c r="Q1661">
        <v>21.25</v>
      </c>
      <c r="R1661"/>
      <c r="S1661"/>
      <c r="T1661"/>
      <c r="U1661"/>
      <c r="V1661"/>
      <c r="W1661">
        <v>18</v>
      </c>
    </row>
    <row r="1662" spans="1:23">
      <c r="A1662"/>
      <c r="B1662" t="s">
        <v>62</v>
      </c>
      <c r="C1662" t="s">
        <v>62</v>
      </c>
      <c r="D1662" t="s">
        <v>33</v>
      </c>
      <c r="E1662" t="s">
        <v>34</v>
      </c>
      <c r="F1662" t="str">
        <f>"0001974"</f>
        <v>0001974</v>
      </c>
      <c r="G1662">
        <v>1</v>
      </c>
      <c r="H1662" t="str">
        <f>"00000000"</f>
        <v>00000000</v>
      </c>
      <c r="I1662" t="s">
        <v>35</v>
      </c>
      <c r="J1662"/>
      <c r="K1662">
        <v>16.95</v>
      </c>
      <c r="L1662">
        <v>0.0</v>
      </c>
      <c r="M1662"/>
      <c r="N1662"/>
      <c r="O1662">
        <v>3.05</v>
      </c>
      <c r="P1662">
        <v>0.0</v>
      </c>
      <c r="Q1662">
        <v>20.0</v>
      </c>
      <c r="R1662"/>
      <c r="S1662"/>
      <c r="T1662"/>
      <c r="U1662"/>
      <c r="V1662"/>
      <c r="W1662">
        <v>18</v>
      </c>
    </row>
    <row r="1663" spans="1:23">
      <c r="A1663"/>
      <c r="B1663" t="s">
        <v>62</v>
      </c>
      <c r="C1663" t="s">
        <v>62</v>
      </c>
      <c r="D1663" t="s">
        <v>33</v>
      </c>
      <c r="E1663" t="s">
        <v>34</v>
      </c>
      <c r="F1663" t="str">
        <f>"0001975"</f>
        <v>0001975</v>
      </c>
      <c r="G1663">
        <v>1</v>
      </c>
      <c r="H1663" t="str">
        <f>"00000000"</f>
        <v>00000000</v>
      </c>
      <c r="I1663" t="s">
        <v>35</v>
      </c>
      <c r="J1663"/>
      <c r="K1663">
        <v>111.69</v>
      </c>
      <c r="L1663">
        <v>0.0</v>
      </c>
      <c r="M1663"/>
      <c r="N1663"/>
      <c r="O1663">
        <v>20.11</v>
      </c>
      <c r="P1663">
        <v>0.0</v>
      </c>
      <c r="Q1663">
        <v>131.8</v>
      </c>
      <c r="R1663"/>
      <c r="S1663"/>
      <c r="T1663"/>
      <c r="U1663"/>
      <c r="V1663"/>
      <c r="W1663">
        <v>18</v>
      </c>
    </row>
    <row r="1664" spans="1:23">
      <c r="A1664"/>
      <c r="B1664" t="s">
        <v>62</v>
      </c>
      <c r="C1664" t="s">
        <v>62</v>
      </c>
      <c r="D1664" t="s">
        <v>33</v>
      </c>
      <c r="E1664" t="s">
        <v>34</v>
      </c>
      <c r="F1664" t="str">
        <f>"0001976"</f>
        <v>0001976</v>
      </c>
      <c r="G1664">
        <v>1</v>
      </c>
      <c r="H1664" t="str">
        <f>"00000000"</f>
        <v>00000000</v>
      </c>
      <c r="I1664" t="s">
        <v>35</v>
      </c>
      <c r="J1664"/>
      <c r="K1664">
        <v>10.53</v>
      </c>
      <c r="L1664">
        <v>0.0</v>
      </c>
      <c r="M1664"/>
      <c r="N1664"/>
      <c r="O1664">
        <v>1.89</v>
      </c>
      <c r="P1664">
        <v>0.2</v>
      </c>
      <c r="Q1664">
        <v>12.62</v>
      </c>
      <c r="R1664"/>
      <c r="S1664"/>
      <c r="T1664"/>
      <c r="U1664"/>
      <c r="V1664"/>
      <c r="W1664">
        <v>18</v>
      </c>
    </row>
    <row r="1665" spans="1:23">
      <c r="A1665"/>
      <c r="B1665" t="s">
        <v>62</v>
      </c>
      <c r="C1665" t="s">
        <v>62</v>
      </c>
      <c r="D1665" t="s">
        <v>33</v>
      </c>
      <c r="E1665" t="s">
        <v>34</v>
      </c>
      <c r="F1665" t="str">
        <f>"0001977"</f>
        <v>0001977</v>
      </c>
      <c r="G1665">
        <v>1</v>
      </c>
      <c r="H1665" t="str">
        <f>"00000000"</f>
        <v>00000000</v>
      </c>
      <c r="I1665" t="s">
        <v>35</v>
      </c>
      <c r="J1665"/>
      <c r="K1665">
        <v>2.37</v>
      </c>
      <c r="L1665">
        <v>0.0</v>
      </c>
      <c r="M1665"/>
      <c r="N1665"/>
      <c r="O1665">
        <v>0.43</v>
      </c>
      <c r="P1665">
        <v>0.0</v>
      </c>
      <c r="Q1665">
        <v>2.8</v>
      </c>
      <c r="R1665"/>
      <c r="S1665"/>
      <c r="T1665"/>
      <c r="U1665"/>
      <c r="V1665"/>
      <c r="W1665">
        <v>18</v>
      </c>
    </row>
    <row r="1666" spans="1:23">
      <c r="A1666"/>
      <c r="B1666" t="s">
        <v>62</v>
      </c>
      <c r="C1666" t="s">
        <v>62</v>
      </c>
      <c r="D1666" t="s">
        <v>33</v>
      </c>
      <c r="E1666" t="s">
        <v>34</v>
      </c>
      <c r="F1666" t="str">
        <f>"0001978"</f>
        <v>0001978</v>
      </c>
      <c r="G1666">
        <v>1</v>
      </c>
      <c r="H1666" t="str">
        <f>"00000000"</f>
        <v>00000000</v>
      </c>
      <c r="I1666" t="s">
        <v>35</v>
      </c>
      <c r="J1666"/>
      <c r="K1666">
        <v>2.88</v>
      </c>
      <c r="L1666">
        <v>0.0</v>
      </c>
      <c r="M1666"/>
      <c r="N1666"/>
      <c r="O1666">
        <v>0.52</v>
      </c>
      <c r="P1666">
        <v>0.0</v>
      </c>
      <c r="Q1666">
        <v>3.4</v>
      </c>
      <c r="R1666"/>
      <c r="S1666"/>
      <c r="T1666"/>
      <c r="U1666"/>
      <c r="V1666"/>
      <c r="W1666">
        <v>18</v>
      </c>
    </row>
    <row r="1667" spans="1:23">
      <c r="A1667"/>
      <c r="B1667" t="s">
        <v>62</v>
      </c>
      <c r="C1667" t="s">
        <v>62</v>
      </c>
      <c r="D1667" t="s">
        <v>33</v>
      </c>
      <c r="E1667" t="s">
        <v>34</v>
      </c>
      <c r="F1667" t="str">
        <f>"0001979"</f>
        <v>0001979</v>
      </c>
      <c r="G1667">
        <v>1</v>
      </c>
      <c r="H1667" t="str">
        <f>"00000000"</f>
        <v>00000000</v>
      </c>
      <c r="I1667" t="s">
        <v>35</v>
      </c>
      <c r="J1667"/>
      <c r="K1667">
        <v>21.92</v>
      </c>
      <c r="L1667">
        <v>0.0</v>
      </c>
      <c r="M1667"/>
      <c r="N1667"/>
      <c r="O1667">
        <v>3.95</v>
      </c>
      <c r="P1667">
        <v>0.2</v>
      </c>
      <c r="Q1667">
        <v>26.07</v>
      </c>
      <c r="R1667"/>
      <c r="S1667"/>
      <c r="T1667"/>
      <c r="U1667"/>
      <c r="V1667"/>
      <c r="W1667">
        <v>18</v>
      </c>
    </row>
    <row r="1668" spans="1:23">
      <c r="A1668"/>
      <c r="B1668" t="s">
        <v>62</v>
      </c>
      <c r="C1668" t="s">
        <v>62</v>
      </c>
      <c r="D1668" t="s">
        <v>33</v>
      </c>
      <c r="E1668" t="s">
        <v>34</v>
      </c>
      <c r="F1668" t="str">
        <f>"0001980"</f>
        <v>0001980</v>
      </c>
      <c r="G1668">
        <v>1</v>
      </c>
      <c r="H1668" t="str">
        <f>"00000000"</f>
        <v>00000000</v>
      </c>
      <c r="I1668" t="s">
        <v>35</v>
      </c>
      <c r="J1668"/>
      <c r="K1668">
        <v>8.27</v>
      </c>
      <c r="L1668">
        <v>0.0</v>
      </c>
      <c r="M1668"/>
      <c r="N1668"/>
      <c r="O1668">
        <v>1.49</v>
      </c>
      <c r="P1668">
        <v>0.0</v>
      </c>
      <c r="Q1668">
        <v>9.76</v>
      </c>
      <c r="R1668"/>
      <c r="S1668"/>
      <c r="T1668"/>
      <c r="U1668"/>
      <c r="V1668"/>
      <c r="W1668">
        <v>18</v>
      </c>
    </row>
    <row r="1669" spans="1:23">
      <c r="A1669"/>
      <c r="B1669" t="s">
        <v>62</v>
      </c>
      <c r="C1669" t="s">
        <v>62</v>
      </c>
      <c r="D1669" t="s">
        <v>33</v>
      </c>
      <c r="E1669" t="s">
        <v>34</v>
      </c>
      <c r="F1669" t="str">
        <f>"0001981"</f>
        <v>0001981</v>
      </c>
      <c r="G1669">
        <v>1</v>
      </c>
      <c r="H1669" t="str">
        <f>"00000000"</f>
        <v>00000000</v>
      </c>
      <c r="I1669" t="s">
        <v>35</v>
      </c>
      <c r="J1669"/>
      <c r="K1669">
        <v>21.1</v>
      </c>
      <c r="L1669">
        <v>0.0</v>
      </c>
      <c r="M1669"/>
      <c r="N1669"/>
      <c r="O1669">
        <v>3.8</v>
      </c>
      <c r="P1669">
        <v>0.0</v>
      </c>
      <c r="Q1669">
        <v>24.9</v>
      </c>
      <c r="R1669"/>
      <c r="S1669"/>
      <c r="T1669"/>
      <c r="U1669"/>
      <c r="V1669"/>
      <c r="W1669">
        <v>18</v>
      </c>
    </row>
    <row r="1670" spans="1:23">
      <c r="A1670"/>
      <c r="B1670" t="s">
        <v>62</v>
      </c>
      <c r="C1670" t="s">
        <v>62</v>
      </c>
      <c r="D1670" t="s">
        <v>33</v>
      </c>
      <c r="E1670" t="s">
        <v>34</v>
      </c>
      <c r="F1670" t="str">
        <f>"0001982"</f>
        <v>0001982</v>
      </c>
      <c r="G1670">
        <v>1</v>
      </c>
      <c r="H1670" t="str">
        <f>"00000000"</f>
        <v>00000000</v>
      </c>
      <c r="I1670" t="s">
        <v>35</v>
      </c>
      <c r="J1670"/>
      <c r="K1670">
        <v>5.35</v>
      </c>
      <c r="L1670">
        <v>0.0</v>
      </c>
      <c r="M1670"/>
      <c r="N1670"/>
      <c r="O1670">
        <v>0.96</v>
      </c>
      <c r="P1670">
        <v>0.0</v>
      </c>
      <c r="Q1670">
        <v>6.31</v>
      </c>
      <c r="R1670"/>
      <c r="S1670"/>
      <c r="T1670"/>
      <c r="U1670"/>
      <c r="V1670"/>
      <c r="W1670">
        <v>18</v>
      </c>
    </row>
    <row r="1671" spans="1:23">
      <c r="A1671"/>
      <c r="B1671" t="s">
        <v>62</v>
      </c>
      <c r="C1671" t="s">
        <v>62</v>
      </c>
      <c r="D1671" t="s">
        <v>33</v>
      </c>
      <c r="E1671" t="s">
        <v>34</v>
      </c>
      <c r="F1671" t="str">
        <f>"0001983"</f>
        <v>0001983</v>
      </c>
      <c r="G1671">
        <v>1</v>
      </c>
      <c r="H1671" t="str">
        <f>"00000000"</f>
        <v>00000000</v>
      </c>
      <c r="I1671" t="s">
        <v>35</v>
      </c>
      <c r="J1671"/>
      <c r="K1671">
        <v>1.69</v>
      </c>
      <c r="L1671">
        <v>0.0</v>
      </c>
      <c r="M1671"/>
      <c r="N1671"/>
      <c r="O1671">
        <v>0.31</v>
      </c>
      <c r="P1671">
        <v>0.0</v>
      </c>
      <c r="Q1671">
        <v>2.0</v>
      </c>
      <c r="R1671"/>
      <c r="S1671"/>
      <c r="T1671"/>
      <c r="U1671"/>
      <c r="V1671"/>
      <c r="W1671">
        <v>18</v>
      </c>
    </row>
    <row r="1672" spans="1:23">
      <c r="A1672"/>
      <c r="B1672" t="s">
        <v>62</v>
      </c>
      <c r="C1672" t="s">
        <v>62</v>
      </c>
      <c r="D1672" t="s">
        <v>33</v>
      </c>
      <c r="E1672" t="s">
        <v>34</v>
      </c>
      <c r="F1672" t="str">
        <f>"0001984"</f>
        <v>0001984</v>
      </c>
      <c r="G1672">
        <v>1</v>
      </c>
      <c r="H1672" t="str">
        <f>"00000000"</f>
        <v>00000000</v>
      </c>
      <c r="I1672" t="s">
        <v>35</v>
      </c>
      <c r="J1672"/>
      <c r="K1672">
        <v>30.42</v>
      </c>
      <c r="L1672">
        <v>0.0</v>
      </c>
      <c r="M1672"/>
      <c r="N1672"/>
      <c r="O1672">
        <v>5.47</v>
      </c>
      <c r="P1672">
        <v>0.2</v>
      </c>
      <c r="Q1672">
        <v>36.09</v>
      </c>
      <c r="R1672"/>
      <c r="S1672"/>
      <c r="T1672"/>
      <c r="U1672"/>
      <c r="V1672"/>
      <c r="W1672">
        <v>18</v>
      </c>
    </row>
    <row r="1673" spans="1:23">
      <c r="A1673"/>
      <c r="B1673" t="s">
        <v>62</v>
      </c>
      <c r="C1673" t="s">
        <v>62</v>
      </c>
      <c r="D1673" t="s">
        <v>33</v>
      </c>
      <c r="E1673" t="s">
        <v>34</v>
      </c>
      <c r="F1673" t="str">
        <f>"0001985"</f>
        <v>0001985</v>
      </c>
      <c r="G1673">
        <v>1</v>
      </c>
      <c r="H1673" t="str">
        <f>"00000000"</f>
        <v>00000000</v>
      </c>
      <c r="I1673" t="s">
        <v>35</v>
      </c>
      <c r="J1673"/>
      <c r="K1673">
        <v>20.89</v>
      </c>
      <c r="L1673">
        <v>0.0</v>
      </c>
      <c r="M1673"/>
      <c r="N1673"/>
      <c r="O1673">
        <v>3.76</v>
      </c>
      <c r="P1673">
        <v>0.2</v>
      </c>
      <c r="Q1673">
        <v>24.85</v>
      </c>
      <c r="R1673"/>
      <c r="S1673"/>
      <c r="T1673"/>
      <c r="U1673"/>
      <c r="V1673"/>
      <c r="W1673">
        <v>18</v>
      </c>
    </row>
    <row r="1674" spans="1:23">
      <c r="A1674"/>
      <c r="B1674" t="s">
        <v>62</v>
      </c>
      <c r="C1674" t="s">
        <v>62</v>
      </c>
      <c r="D1674" t="s">
        <v>33</v>
      </c>
      <c r="E1674" t="s">
        <v>34</v>
      </c>
      <c r="F1674" t="str">
        <f>"0001986"</f>
        <v>0001986</v>
      </c>
      <c r="G1674">
        <v>1</v>
      </c>
      <c r="H1674" t="str">
        <f>"00000000"</f>
        <v>00000000</v>
      </c>
      <c r="I1674" t="s">
        <v>35</v>
      </c>
      <c r="J1674"/>
      <c r="K1674">
        <v>47.46</v>
      </c>
      <c r="L1674">
        <v>0.0</v>
      </c>
      <c r="M1674"/>
      <c r="N1674"/>
      <c r="O1674">
        <v>8.54</v>
      </c>
      <c r="P1674">
        <v>0.2</v>
      </c>
      <c r="Q1674">
        <v>56.2</v>
      </c>
      <c r="R1674"/>
      <c r="S1674"/>
      <c r="T1674"/>
      <c r="U1674"/>
      <c r="V1674"/>
      <c r="W1674">
        <v>18</v>
      </c>
    </row>
    <row r="1675" spans="1:23">
      <c r="A1675"/>
      <c r="B1675" t="s">
        <v>62</v>
      </c>
      <c r="C1675" t="s">
        <v>62</v>
      </c>
      <c r="D1675" t="s">
        <v>33</v>
      </c>
      <c r="E1675" t="s">
        <v>34</v>
      </c>
      <c r="F1675" t="str">
        <f>"0001987"</f>
        <v>0001987</v>
      </c>
      <c r="G1675">
        <v>1</v>
      </c>
      <c r="H1675" t="str">
        <f>"00000000"</f>
        <v>00000000</v>
      </c>
      <c r="I1675" t="s">
        <v>35</v>
      </c>
      <c r="J1675"/>
      <c r="K1675">
        <v>75.56</v>
      </c>
      <c r="L1675">
        <v>0.0</v>
      </c>
      <c r="M1675"/>
      <c r="N1675"/>
      <c r="O1675">
        <v>13.6</v>
      </c>
      <c r="P1675">
        <v>0.0</v>
      </c>
      <c r="Q1675">
        <v>89.16</v>
      </c>
      <c r="R1675"/>
      <c r="S1675"/>
      <c r="T1675"/>
      <c r="U1675"/>
      <c r="V1675"/>
      <c r="W1675">
        <v>18</v>
      </c>
    </row>
    <row r="1676" spans="1:23">
      <c r="A1676"/>
      <c r="B1676" t="s">
        <v>62</v>
      </c>
      <c r="C1676" t="s">
        <v>62</v>
      </c>
      <c r="D1676" t="s">
        <v>33</v>
      </c>
      <c r="E1676" t="s">
        <v>34</v>
      </c>
      <c r="F1676" t="str">
        <f>"0001988"</f>
        <v>0001988</v>
      </c>
      <c r="G1676">
        <v>1</v>
      </c>
      <c r="H1676" t="str">
        <f>"00000000"</f>
        <v>00000000</v>
      </c>
      <c r="I1676" t="s">
        <v>35</v>
      </c>
      <c r="J1676"/>
      <c r="K1676">
        <v>17.36</v>
      </c>
      <c r="L1676">
        <v>0.0</v>
      </c>
      <c r="M1676"/>
      <c r="N1676"/>
      <c r="O1676">
        <v>3.12</v>
      </c>
      <c r="P1676">
        <v>0.0</v>
      </c>
      <c r="Q1676">
        <v>20.49</v>
      </c>
      <c r="R1676"/>
      <c r="S1676"/>
      <c r="T1676"/>
      <c r="U1676"/>
      <c r="V1676"/>
      <c r="W1676">
        <v>18</v>
      </c>
    </row>
    <row r="1677" spans="1:23">
      <c r="A1677"/>
      <c r="B1677" t="s">
        <v>62</v>
      </c>
      <c r="C1677" t="s">
        <v>62</v>
      </c>
      <c r="D1677" t="s">
        <v>33</v>
      </c>
      <c r="E1677" t="s">
        <v>34</v>
      </c>
      <c r="F1677" t="str">
        <f>"0001989"</f>
        <v>0001989</v>
      </c>
      <c r="G1677">
        <v>1</v>
      </c>
      <c r="H1677" t="str">
        <f>"00000000"</f>
        <v>00000000</v>
      </c>
      <c r="I1677" t="s">
        <v>35</v>
      </c>
      <c r="J1677"/>
      <c r="K1677">
        <v>2.2</v>
      </c>
      <c r="L1677">
        <v>0.0</v>
      </c>
      <c r="M1677"/>
      <c r="N1677"/>
      <c r="O1677">
        <v>0.4</v>
      </c>
      <c r="P1677">
        <v>0.0</v>
      </c>
      <c r="Q1677">
        <v>2.6</v>
      </c>
      <c r="R1677"/>
      <c r="S1677"/>
      <c r="T1677"/>
      <c r="U1677"/>
      <c r="V1677"/>
      <c r="W1677">
        <v>18</v>
      </c>
    </row>
    <row r="1678" spans="1:23">
      <c r="A1678"/>
      <c r="B1678" t="s">
        <v>62</v>
      </c>
      <c r="C1678" t="s">
        <v>62</v>
      </c>
      <c r="D1678" t="s">
        <v>33</v>
      </c>
      <c r="E1678" t="s">
        <v>34</v>
      </c>
      <c r="F1678" t="str">
        <f>"0001990"</f>
        <v>0001990</v>
      </c>
      <c r="G1678">
        <v>1</v>
      </c>
      <c r="H1678" t="str">
        <f>"00000000"</f>
        <v>00000000</v>
      </c>
      <c r="I1678" t="s">
        <v>35</v>
      </c>
      <c r="J1678"/>
      <c r="K1678">
        <v>2.37</v>
      </c>
      <c r="L1678">
        <v>0.0</v>
      </c>
      <c r="M1678"/>
      <c r="N1678"/>
      <c r="O1678">
        <v>0.43</v>
      </c>
      <c r="P1678">
        <v>0.0</v>
      </c>
      <c r="Q1678">
        <v>2.8</v>
      </c>
      <c r="R1678"/>
      <c r="S1678"/>
      <c r="T1678"/>
      <c r="U1678"/>
      <c r="V1678"/>
      <c r="W1678">
        <v>18</v>
      </c>
    </row>
    <row r="1679" spans="1:23">
      <c r="A1679"/>
      <c r="B1679" t="s">
        <v>62</v>
      </c>
      <c r="C1679" t="s">
        <v>62</v>
      </c>
      <c r="D1679" t="s">
        <v>33</v>
      </c>
      <c r="E1679" t="s">
        <v>34</v>
      </c>
      <c r="F1679" t="str">
        <f>"0001991"</f>
        <v>0001991</v>
      </c>
      <c r="G1679">
        <v>1</v>
      </c>
      <c r="H1679" t="str">
        <f>"00000000"</f>
        <v>00000000</v>
      </c>
      <c r="I1679" t="s">
        <v>35</v>
      </c>
      <c r="J1679"/>
      <c r="K1679">
        <v>22.77</v>
      </c>
      <c r="L1679">
        <v>0.0</v>
      </c>
      <c r="M1679"/>
      <c r="N1679"/>
      <c r="O1679">
        <v>4.1</v>
      </c>
      <c r="P1679">
        <v>0.0</v>
      </c>
      <c r="Q1679">
        <v>26.87</v>
      </c>
      <c r="R1679"/>
      <c r="S1679"/>
      <c r="T1679"/>
      <c r="U1679"/>
      <c r="V1679"/>
      <c r="W1679">
        <v>18</v>
      </c>
    </row>
    <row r="1680" spans="1:23">
      <c r="A1680"/>
      <c r="B1680" t="s">
        <v>62</v>
      </c>
      <c r="C1680" t="s">
        <v>62</v>
      </c>
      <c r="D1680" t="s">
        <v>33</v>
      </c>
      <c r="E1680" t="s">
        <v>34</v>
      </c>
      <c r="F1680" t="str">
        <f>"0001992"</f>
        <v>0001992</v>
      </c>
      <c r="G1680">
        <v>1</v>
      </c>
      <c r="H1680" t="str">
        <f>"00000000"</f>
        <v>00000000</v>
      </c>
      <c r="I1680" t="s">
        <v>35</v>
      </c>
      <c r="J1680"/>
      <c r="K1680">
        <v>24.83</v>
      </c>
      <c r="L1680">
        <v>0.0</v>
      </c>
      <c r="M1680"/>
      <c r="N1680"/>
      <c r="O1680">
        <v>4.47</v>
      </c>
      <c r="P1680">
        <v>0.0</v>
      </c>
      <c r="Q1680">
        <v>29.3</v>
      </c>
      <c r="R1680"/>
      <c r="S1680"/>
      <c r="T1680"/>
      <c r="U1680"/>
      <c r="V1680"/>
      <c r="W1680">
        <v>18</v>
      </c>
    </row>
    <row r="1681" spans="1:23">
      <c r="A1681"/>
      <c r="B1681" t="s">
        <v>62</v>
      </c>
      <c r="C1681" t="s">
        <v>62</v>
      </c>
      <c r="D1681" t="s">
        <v>33</v>
      </c>
      <c r="E1681" t="s">
        <v>34</v>
      </c>
      <c r="F1681" t="str">
        <f>"0001993"</f>
        <v>0001993</v>
      </c>
      <c r="G1681">
        <v>1</v>
      </c>
      <c r="H1681" t="str">
        <f>"00000000"</f>
        <v>00000000</v>
      </c>
      <c r="I1681" t="s">
        <v>35</v>
      </c>
      <c r="J1681"/>
      <c r="K1681">
        <v>7.65</v>
      </c>
      <c r="L1681">
        <v>0.0</v>
      </c>
      <c r="M1681"/>
      <c r="N1681"/>
      <c r="O1681">
        <v>1.38</v>
      </c>
      <c r="P1681">
        <v>0.2</v>
      </c>
      <c r="Q1681">
        <v>9.23</v>
      </c>
      <c r="R1681"/>
      <c r="S1681"/>
      <c r="T1681"/>
      <c r="U1681"/>
      <c r="V1681"/>
      <c r="W1681">
        <v>18</v>
      </c>
    </row>
    <row r="1682" spans="1:23">
      <c r="A1682"/>
      <c r="B1682" t="s">
        <v>62</v>
      </c>
      <c r="C1682" t="s">
        <v>62</v>
      </c>
      <c r="D1682" t="s">
        <v>33</v>
      </c>
      <c r="E1682" t="s">
        <v>34</v>
      </c>
      <c r="F1682" t="str">
        <f>"0001994"</f>
        <v>0001994</v>
      </c>
      <c r="G1682">
        <v>1</v>
      </c>
      <c r="H1682" t="str">
        <f>"00000000"</f>
        <v>00000000</v>
      </c>
      <c r="I1682" t="s">
        <v>35</v>
      </c>
      <c r="J1682"/>
      <c r="K1682">
        <v>36.86</v>
      </c>
      <c r="L1682">
        <v>0.0</v>
      </c>
      <c r="M1682"/>
      <c r="N1682"/>
      <c r="O1682">
        <v>6.64</v>
      </c>
      <c r="P1682">
        <v>0.4</v>
      </c>
      <c r="Q1682">
        <v>43.9</v>
      </c>
      <c r="R1682"/>
      <c r="S1682"/>
      <c r="T1682"/>
      <c r="U1682"/>
      <c r="V1682"/>
      <c r="W1682">
        <v>18</v>
      </c>
    </row>
    <row r="1683" spans="1:23">
      <c r="A1683"/>
      <c r="B1683" t="s">
        <v>62</v>
      </c>
      <c r="C1683" t="s">
        <v>62</v>
      </c>
      <c r="D1683" t="s">
        <v>33</v>
      </c>
      <c r="E1683" t="s">
        <v>34</v>
      </c>
      <c r="F1683" t="str">
        <f>"0001995"</f>
        <v>0001995</v>
      </c>
      <c r="G1683">
        <v>1</v>
      </c>
      <c r="H1683" t="str">
        <f>"00000000"</f>
        <v>00000000</v>
      </c>
      <c r="I1683" t="s">
        <v>35</v>
      </c>
      <c r="J1683"/>
      <c r="K1683">
        <v>23.61</v>
      </c>
      <c r="L1683">
        <v>0.0</v>
      </c>
      <c r="M1683"/>
      <c r="N1683"/>
      <c r="O1683">
        <v>4.25</v>
      </c>
      <c r="P1683">
        <v>0.0</v>
      </c>
      <c r="Q1683">
        <v>27.87</v>
      </c>
      <c r="R1683"/>
      <c r="S1683"/>
      <c r="T1683"/>
      <c r="U1683"/>
      <c r="V1683"/>
      <c r="W1683">
        <v>18</v>
      </c>
    </row>
    <row r="1684" spans="1:23">
      <c r="A1684"/>
      <c r="B1684" t="s">
        <v>62</v>
      </c>
      <c r="C1684" t="s">
        <v>62</v>
      </c>
      <c r="D1684" t="s">
        <v>33</v>
      </c>
      <c r="E1684" t="s">
        <v>34</v>
      </c>
      <c r="F1684" t="str">
        <f>"0001996"</f>
        <v>0001996</v>
      </c>
      <c r="G1684">
        <v>1</v>
      </c>
      <c r="H1684" t="str">
        <f>"00000000"</f>
        <v>00000000</v>
      </c>
      <c r="I1684" t="s">
        <v>35</v>
      </c>
      <c r="J1684"/>
      <c r="K1684">
        <v>15.14</v>
      </c>
      <c r="L1684">
        <v>0.0</v>
      </c>
      <c r="M1684"/>
      <c r="N1684"/>
      <c r="O1684">
        <v>2.72</v>
      </c>
      <c r="P1684">
        <v>0.2</v>
      </c>
      <c r="Q1684">
        <v>18.06</v>
      </c>
      <c r="R1684"/>
      <c r="S1684"/>
      <c r="T1684"/>
      <c r="U1684"/>
      <c r="V1684"/>
      <c r="W1684">
        <v>18</v>
      </c>
    </row>
    <row r="1685" spans="1:23">
      <c r="A1685"/>
      <c r="B1685" t="s">
        <v>62</v>
      </c>
      <c r="C1685" t="s">
        <v>62</v>
      </c>
      <c r="D1685" t="s">
        <v>33</v>
      </c>
      <c r="E1685" t="s">
        <v>34</v>
      </c>
      <c r="F1685" t="str">
        <f>"0001997"</f>
        <v>0001997</v>
      </c>
      <c r="G1685">
        <v>1</v>
      </c>
      <c r="H1685" t="str">
        <f>"00000000"</f>
        <v>00000000</v>
      </c>
      <c r="I1685" t="s">
        <v>35</v>
      </c>
      <c r="J1685"/>
      <c r="K1685">
        <v>59.17</v>
      </c>
      <c r="L1685">
        <v>0.0</v>
      </c>
      <c r="M1685"/>
      <c r="N1685"/>
      <c r="O1685">
        <v>10.65</v>
      </c>
      <c r="P1685">
        <v>0.4</v>
      </c>
      <c r="Q1685">
        <v>70.22</v>
      </c>
      <c r="R1685"/>
      <c r="S1685"/>
      <c r="T1685"/>
      <c r="U1685"/>
      <c r="V1685"/>
      <c r="W1685">
        <v>18</v>
      </c>
    </row>
    <row r="1686" spans="1:23">
      <c r="A1686"/>
      <c r="B1686" t="s">
        <v>62</v>
      </c>
      <c r="C1686" t="s">
        <v>62</v>
      </c>
      <c r="D1686" t="s">
        <v>33</v>
      </c>
      <c r="E1686" t="s">
        <v>34</v>
      </c>
      <c r="F1686" t="str">
        <f>"0001998"</f>
        <v>0001998</v>
      </c>
      <c r="G1686">
        <v>1</v>
      </c>
      <c r="H1686" t="str">
        <f>"00000000"</f>
        <v>00000000</v>
      </c>
      <c r="I1686" t="s">
        <v>35</v>
      </c>
      <c r="J1686"/>
      <c r="K1686">
        <v>24.25</v>
      </c>
      <c r="L1686">
        <v>0.0</v>
      </c>
      <c r="M1686"/>
      <c r="N1686"/>
      <c r="O1686">
        <v>4.36</v>
      </c>
      <c r="P1686">
        <v>0.2</v>
      </c>
      <c r="Q1686">
        <v>28.81</v>
      </c>
      <c r="R1686"/>
      <c r="S1686"/>
      <c r="T1686"/>
      <c r="U1686"/>
      <c r="V1686"/>
      <c r="W1686">
        <v>18</v>
      </c>
    </row>
    <row r="1687" spans="1:23">
      <c r="A1687"/>
      <c r="B1687" t="s">
        <v>62</v>
      </c>
      <c r="C1687" t="s">
        <v>62</v>
      </c>
      <c r="D1687" t="s">
        <v>33</v>
      </c>
      <c r="E1687" t="s">
        <v>34</v>
      </c>
      <c r="F1687" t="str">
        <f>"0001999"</f>
        <v>0001999</v>
      </c>
      <c r="G1687">
        <v>1</v>
      </c>
      <c r="H1687" t="str">
        <f>"00000000"</f>
        <v>00000000</v>
      </c>
      <c r="I1687" t="s">
        <v>35</v>
      </c>
      <c r="J1687"/>
      <c r="K1687">
        <v>8.43</v>
      </c>
      <c r="L1687">
        <v>0.0</v>
      </c>
      <c r="M1687"/>
      <c r="N1687"/>
      <c r="O1687">
        <v>1.52</v>
      </c>
      <c r="P1687">
        <v>0.2</v>
      </c>
      <c r="Q1687">
        <v>10.15</v>
      </c>
      <c r="R1687"/>
      <c r="S1687"/>
      <c r="T1687"/>
      <c r="U1687"/>
      <c r="V1687"/>
      <c r="W1687">
        <v>18</v>
      </c>
    </row>
    <row r="1688" spans="1:23">
      <c r="A1688"/>
      <c r="B1688" t="s">
        <v>62</v>
      </c>
      <c r="C1688" t="s">
        <v>62</v>
      </c>
      <c r="D1688" t="s">
        <v>33</v>
      </c>
      <c r="E1688" t="s">
        <v>34</v>
      </c>
      <c r="F1688" t="str">
        <f>"0002000"</f>
        <v>0002000</v>
      </c>
      <c r="G1688">
        <v>1</v>
      </c>
      <c r="H1688" t="str">
        <f>"00000000"</f>
        <v>00000000</v>
      </c>
      <c r="I1688" t="s">
        <v>35</v>
      </c>
      <c r="J1688"/>
      <c r="K1688">
        <v>29.75</v>
      </c>
      <c r="L1688">
        <v>0.0</v>
      </c>
      <c r="M1688"/>
      <c r="N1688"/>
      <c r="O1688">
        <v>5.35</v>
      </c>
      <c r="P1688">
        <v>0.2</v>
      </c>
      <c r="Q1688">
        <v>35.3</v>
      </c>
      <c r="R1688"/>
      <c r="S1688"/>
      <c r="T1688"/>
      <c r="U1688"/>
      <c r="V1688"/>
      <c r="W1688">
        <v>18</v>
      </c>
    </row>
    <row r="1689" spans="1:23">
      <c r="A1689"/>
      <c r="B1689" t="s">
        <v>62</v>
      </c>
      <c r="C1689" t="s">
        <v>62</v>
      </c>
      <c r="D1689" t="s">
        <v>33</v>
      </c>
      <c r="E1689" t="s">
        <v>34</v>
      </c>
      <c r="F1689" t="str">
        <f>"0002001"</f>
        <v>0002001</v>
      </c>
      <c r="G1689">
        <v>1</v>
      </c>
      <c r="H1689" t="str">
        <f>"00000000"</f>
        <v>00000000</v>
      </c>
      <c r="I1689" t="s">
        <v>35</v>
      </c>
      <c r="J1689"/>
      <c r="K1689">
        <v>14.14</v>
      </c>
      <c r="L1689">
        <v>0.0</v>
      </c>
      <c r="M1689"/>
      <c r="N1689"/>
      <c r="O1689">
        <v>2.55</v>
      </c>
      <c r="P1689">
        <v>0.0</v>
      </c>
      <c r="Q1689">
        <v>16.69</v>
      </c>
      <c r="R1689"/>
      <c r="S1689"/>
      <c r="T1689"/>
      <c r="U1689"/>
      <c r="V1689"/>
      <c r="W1689">
        <v>18</v>
      </c>
    </row>
    <row r="1690" spans="1:23">
      <c r="A1690"/>
      <c r="B1690" t="s">
        <v>62</v>
      </c>
      <c r="C1690" t="s">
        <v>62</v>
      </c>
      <c r="D1690" t="s">
        <v>33</v>
      </c>
      <c r="E1690" t="s">
        <v>34</v>
      </c>
      <c r="F1690" t="str">
        <f>"0002002"</f>
        <v>0002002</v>
      </c>
      <c r="G1690">
        <v>1</v>
      </c>
      <c r="H1690" t="str">
        <f>"00000000"</f>
        <v>00000000</v>
      </c>
      <c r="I1690" t="s">
        <v>35</v>
      </c>
      <c r="J1690"/>
      <c r="K1690">
        <v>35.99</v>
      </c>
      <c r="L1690">
        <v>0.0</v>
      </c>
      <c r="M1690"/>
      <c r="N1690"/>
      <c r="O1690">
        <v>6.48</v>
      </c>
      <c r="P1690">
        <v>0.2</v>
      </c>
      <c r="Q1690">
        <v>42.67</v>
      </c>
      <c r="R1690"/>
      <c r="S1690"/>
      <c r="T1690"/>
      <c r="U1690"/>
      <c r="V1690"/>
      <c r="W1690">
        <v>18</v>
      </c>
    </row>
    <row r="1691" spans="1:23">
      <c r="A1691"/>
      <c r="B1691" t="s">
        <v>62</v>
      </c>
      <c r="C1691" t="s">
        <v>62</v>
      </c>
      <c r="D1691" t="s">
        <v>33</v>
      </c>
      <c r="E1691" t="s">
        <v>34</v>
      </c>
      <c r="F1691" t="str">
        <f>"0002003"</f>
        <v>0002003</v>
      </c>
      <c r="G1691">
        <v>1</v>
      </c>
      <c r="H1691" t="str">
        <f>"00000000"</f>
        <v>00000000</v>
      </c>
      <c r="I1691" t="s">
        <v>35</v>
      </c>
      <c r="J1691"/>
      <c r="K1691">
        <v>5.09</v>
      </c>
      <c r="L1691">
        <v>0.0</v>
      </c>
      <c r="M1691"/>
      <c r="N1691"/>
      <c r="O1691">
        <v>0.92</v>
      </c>
      <c r="P1691">
        <v>0.2</v>
      </c>
      <c r="Q1691">
        <v>6.21</v>
      </c>
      <c r="R1691"/>
      <c r="S1691"/>
      <c r="T1691"/>
      <c r="U1691"/>
      <c r="V1691"/>
      <c r="W1691">
        <v>18</v>
      </c>
    </row>
    <row r="1692" spans="1:23">
      <c r="A1692"/>
      <c r="B1692" t="s">
        <v>62</v>
      </c>
      <c r="C1692" t="s">
        <v>62</v>
      </c>
      <c r="D1692" t="s">
        <v>33</v>
      </c>
      <c r="E1692" t="s">
        <v>34</v>
      </c>
      <c r="F1692" t="str">
        <f>"0002004"</f>
        <v>0002004</v>
      </c>
      <c r="G1692">
        <v>1</v>
      </c>
      <c r="H1692" t="str">
        <f>"00000000"</f>
        <v>00000000</v>
      </c>
      <c r="I1692" t="s">
        <v>35</v>
      </c>
      <c r="J1692"/>
      <c r="K1692">
        <v>20.08</v>
      </c>
      <c r="L1692">
        <v>0.0</v>
      </c>
      <c r="M1692"/>
      <c r="N1692"/>
      <c r="O1692">
        <v>3.62</v>
      </c>
      <c r="P1692">
        <v>0.2</v>
      </c>
      <c r="Q1692">
        <v>23.9</v>
      </c>
      <c r="R1692"/>
      <c r="S1692"/>
      <c r="T1692"/>
      <c r="U1692"/>
      <c r="V1692"/>
      <c r="W1692">
        <v>18</v>
      </c>
    </row>
    <row r="1693" spans="1:23">
      <c r="A1693"/>
      <c r="B1693" t="s">
        <v>62</v>
      </c>
      <c r="C1693" t="s">
        <v>62</v>
      </c>
      <c r="D1693" t="s">
        <v>33</v>
      </c>
      <c r="E1693" t="s">
        <v>34</v>
      </c>
      <c r="F1693" t="str">
        <f>"0002005"</f>
        <v>0002005</v>
      </c>
      <c r="G1693">
        <v>1</v>
      </c>
      <c r="H1693" t="str">
        <f>"00000000"</f>
        <v>00000000</v>
      </c>
      <c r="I1693" t="s">
        <v>35</v>
      </c>
      <c r="J1693"/>
      <c r="K1693">
        <v>6.19</v>
      </c>
      <c r="L1693">
        <v>0.0</v>
      </c>
      <c r="M1693"/>
      <c r="N1693"/>
      <c r="O1693">
        <v>1.11</v>
      </c>
      <c r="P1693">
        <v>0.0</v>
      </c>
      <c r="Q1693">
        <v>7.3</v>
      </c>
      <c r="R1693"/>
      <c r="S1693"/>
      <c r="T1693"/>
      <c r="U1693"/>
      <c r="V1693"/>
      <c r="W1693">
        <v>18</v>
      </c>
    </row>
    <row r="1694" spans="1:23">
      <c r="A1694"/>
      <c r="B1694" t="s">
        <v>62</v>
      </c>
      <c r="C1694" t="s">
        <v>62</v>
      </c>
      <c r="D1694" t="s">
        <v>33</v>
      </c>
      <c r="E1694" t="s">
        <v>34</v>
      </c>
      <c r="F1694" t="str">
        <f>"0002006"</f>
        <v>0002006</v>
      </c>
      <c r="G1694">
        <v>1</v>
      </c>
      <c r="H1694" t="str">
        <f>"00000000"</f>
        <v>00000000</v>
      </c>
      <c r="I1694" t="s">
        <v>35</v>
      </c>
      <c r="J1694"/>
      <c r="K1694">
        <v>5.07</v>
      </c>
      <c r="L1694">
        <v>0.0</v>
      </c>
      <c r="M1694"/>
      <c r="N1694"/>
      <c r="O1694">
        <v>0.91</v>
      </c>
      <c r="P1694">
        <v>0.0</v>
      </c>
      <c r="Q1694">
        <v>5.98</v>
      </c>
      <c r="R1694"/>
      <c r="S1694"/>
      <c r="T1694"/>
      <c r="U1694"/>
      <c r="V1694"/>
      <c r="W1694">
        <v>18</v>
      </c>
    </row>
    <row r="1695" spans="1:23">
      <c r="A1695"/>
      <c r="B1695" t="s">
        <v>62</v>
      </c>
      <c r="C1695" t="s">
        <v>62</v>
      </c>
      <c r="D1695" t="s">
        <v>33</v>
      </c>
      <c r="E1695" t="s">
        <v>34</v>
      </c>
      <c r="F1695" t="str">
        <f>"0002007"</f>
        <v>0002007</v>
      </c>
      <c r="G1695">
        <v>1</v>
      </c>
      <c r="H1695" t="str">
        <f>"00000000"</f>
        <v>00000000</v>
      </c>
      <c r="I1695" t="s">
        <v>35</v>
      </c>
      <c r="J1695"/>
      <c r="K1695">
        <v>2.71</v>
      </c>
      <c r="L1695">
        <v>0.0</v>
      </c>
      <c r="M1695"/>
      <c r="N1695"/>
      <c r="O1695">
        <v>0.49</v>
      </c>
      <c r="P1695">
        <v>0.0</v>
      </c>
      <c r="Q1695">
        <v>3.19</v>
      </c>
      <c r="R1695"/>
      <c r="S1695"/>
      <c r="T1695"/>
      <c r="U1695"/>
      <c r="V1695"/>
      <c r="W1695">
        <v>18</v>
      </c>
    </row>
    <row r="1696" spans="1:23">
      <c r="A1696"/>
      <c r="B1696" t="s">
        <v>62</v>
      </c>
      <c r="C1696" t="s">
        <v>62</v>
      </c>
      <c r="D1696" t="s">
        <v>33</v>
      </c>
      <c r="E1696" t="s">
        <v>34</v>
      </c>
      <c r="F1696" t="str">
        <f>"0002008"</f>
        <v>0002008</v>
      </c>
      <c r="G1696">
        <v>1</v>
      </c>
      <c r="H1696" t="str">
        <f>"00000000"</f>
        <v>00000000</v>
      </c>
      <c r="I1696" t="s">
        <v>35</v>
      </c>
      <c r="J1696"/>
      <c r="K1696">
        <v>12.65</v>
      </c>
      <c r="L1696">
        <v>0.0</v>
      </c>
      <c r="M1696"/>
      <c r="N1696"/>
      <c r="O1696">
        <v>2.28</v>
      </c>
      <c r="P1696">
        <v>0.2</v>
      </c>
      <c r="Q1696">
        <v>15.13</v>
      </c>
      <c r="R1696"/>
      <c r="S1696"/>
      <c r="T1696"/>
      <c r="U1696"/>
      <c r="V1696"/>
      <c r="W1696">
        <v>18</v>
      </c>
    </row>
    <row r="1697" spans="1:23">
      <c r="A1697"/>
      <c r="B1697" t="s">
        <v>62</v>
      </c>
      <c r="C1697" t="s">
        <v>62</v>
      </c>
      <c r="D1697" t="s">
        <v>33</v>
      </c>
      <c r="E1697" t="s">
        <v>34</v>
      </c>
      <c r="F1697" t="str">
        <f>"0002009"</f>
        <v>0002009</v>
      </c>
      <c r="G1697">
        <v>1</v>
      </c>
      <c r="H1697" t="str">
        <f>"00000000"</f>
        <v>00000000</v>
      </c>
      <c r="I1697" t="s">
        <v>35</v>
      </c>
      <c r="J1697"/>
      <c r="K1697">
        <v>23.65</v>
      </c>
      <c r="L1697">
        <v>0.0</v>
      </c>
      <c r="M1697"/>
      <c r="N1697"/>
      <c r="O1697">
        <v>4.26</v>
      </c>
      <c r="P1697">
        <v>0.0</v>
      </c>
      <c r="Q1697">
        <v>27.91</v>
      </c>
      <c r="R1697"/>
      <c r="S1697"/>
      <c r="T1697"/>
      <c r="U1697"/>
      <c r="V1697"/>
      <c r="W1697">
        <v>18</v>
      </c>
    </row>
    <row r="1698" spans="1:23">
      <c r="A1698"/>
      <c r="B1698" t="s">
        <v>62</v>
      </c>
      <c r="C1698" t="s">
        <v>62</v>
      </c>
      <c r="D1698" t="s">
        <v>33</v>
      </c>
      <c r="E1698" t="s">
        <v>34</v>
      </c>
      <c r="F1698" t="str">
        <f>"0002010"</f>
        <v>0002010</v>
      </c>
      <c r="G1698">
        <v>1</v>
      </c>
      <c r="H1698" t="str">
        <f>"00000000"</f>
        <v>00000000</v>
      </c>
      <c r="I1698" t="s">
        <v>35</v>
      </c>
      <c r="J1698"/>
      <c r="K1698">
        <v>15.07</v>
      </c>
      <c r="L1698">
        <v>0.0</v>
      </c>
      <c r="M1698"/>
      <c r="N1698"/>
      <c r="O1698">
        <v>2.71</v>
      </c>
      <c r="P1698">
        <v>0.2</v>
      </c>
      <c r="Q1698">
        <v>17.98</v>
      </c>
      <c r="R1698"/>
      <c r="S1698"/>
      <c r="T1698"/>
      <c r="U1698"/>
      <c r="V1698"/>
      <c r="W1698">
        <v>18</v>
      </c>
    </row>
    <row r="1699" spans="1:23">
      <c r="A1699"/>
      <c r="B1699" t="s">
        <v>62</v>
      </c>
      <c r="C1699" t="s">
        <v>62</v>
      </c>
      <c r="D1699" t="s">
        <v>33</v>
      </c>
      <c r="E1699" t="s">
        <v>34</v>
      </c>
      <c r="F1699" t="str">
        <f>"0002011"</f>
        <v>0002011</v>
      </c>
      <c r="G1699">
        <v>1</v>
      </c>
      <c r="H1699" t="str">
        <f>"00000000"</f>
        <v>00000000</v>
      </c>
      <c r="I1699" t="s">
        <v>35</v>
      </c>
      <c r="J1699"/>
      <c r="K1699">
        <v>14.14</v>
      </c>
      <c r="L1699">
        <v>0.0</v>
      </c>
      <c r="M1699"/>
      <c r="N1699"/>
      <c r="O1699">
        <v>2.55</v>
      </c>
      <c r="P1699">
        <v>0.0</v>
      </c>
      <c r="Q1699">
        <v>16.69</v>
      </c>
      <c r="R1699"/>
      <c r="S1699"/>
      <c r="T1699"/>
      <c r="U1699"/>
      <c r="V1699"/>
      <c r="W1699">
        <v>18</v>
      </c>
    </row>
    <row r="1700" spans="1:23">
      <c r="A1700"/>
      <c r="B1700" t="s">
        <v>62</v>
      </c>
      <c r="C1700" t="s">
        <v>62</v>
      </c>
      <c r="D1700" t="s">
        <v>33</v>
      </c>
      <c r="E1700" t="s">
        <v>34</v>
      </c>
      <c r="F1700" t="str">
        <f>"0002012"</f>
        <v>0002012</v>
      </c>
      <c r="G1700">
        <v>1</v>
      </c>
      <c r="H1700" t="str">
        <f>"00000000"</f>
        <v>00000000</v>
      </c>
      <c r="I1700" t="s">
        <v>35</v>
      </c>
      <c r="J1700"/>
      <c r="K1700">
        <v>5.93</v>
      </c>
      <c r="L1700">
        <v>0.0</v>
      </c>
      <c r="M1700"/>
      <c r="N1700"/>
      <c r="O1700">
        <v>1.07</v>
      </c>
      <c r="P1700">
        <v>0.0</v>
      </c>
      <c r="Q1700">
        <v>7.0</v>
      </c>
      <c r="R1700"/>
      <c r="S1700"/>
      <c r="T1700"/>
      <c r="U1700"/>
      <c r="V1700"/>
      <c r="W1700">
        <v>18</v>
      </c>
    </row>
    <row r="1701" spans="1:23">
      <c r="A1701"/>
      <c r="B1701" t="s">
        <v>62</v>
      </c>
      <c r="C1701" t="s">
        <v>62</v>
      </c>
      <c r="D1701" t="s">
        <v>33</v>
      </c>
      <c r="E1701" t="s">
        <v>34</v>
      </c>
      <c r="F1701" t="str">
        <f>"0002013"</f>
        <v>0002013</v>
      </c>
      <c r="G1701">
        <v>1</v>
      </c>
      <c r="H1701" t="str">
        <f>"00000000"</f>
        <v>00000000</v>
      </c>
      <c r="I1701" t="s">
        <v>35</v>
      </c>
      <c r="J1701"/>
      <c r="K1701">
        <v>19.13</v>
      </c>
      <c r="L1701">
        <v>0.0</v>
      </c>
      <c r="M1701"/>
      <c r="N1701"/>
      <c r="O1701">
        <v>3.44</v>
      </c>
      <c r="P1701">
        <v>0.0</v>
      </c>
      <c r="Q1701">
        <v>22.57</v>
      </c>
      <c r="R1701"/>
      <c r="S1701"/>
      <c r="T1701"/>
      <c r="U1701"/>
      <c r="V1701"/>
      <c r="W1701">
        <v>18</v>
      </c>
    </row>
    <row r="1702" spans="1:23">
      <c r="A1702"/>
      <c r="B1702" t="s">
        <v>62</v>
      </c>
      <c r="C1702" t="s">
        <v>62</v>
      </c>
      <c r="D1702" t="s">
        <v>33</v>
      </c>
      <c r="E1702" t="s">
        <v>34</v>
      </c>
      <c r="F1702" t="str">
        <f>"0002014"</f>
        <v>0002014</v>
      </c>
      <c r="G1702">
        <v>1</v>
      </c>
      <c r="H1702" t="str">
        <f>"00000000"</f>
        <v>00000000</v>
      </c>
      <c r="I1702" t="s">
        <v>35</v>
      </c>
      <c r="J1702"/>
      <c r="K1702">
        <v>3.81</v>
      </c>
      <c r="L1702">
        <v>0.0</v>
      </c>
      <c r="M1702"/>
      <c r="N1702"/>
      <c r="O1702">
        <v>0.69</v>
      </c>
      <c r="P1702">
        <v>0.0</v>
      </c>
      <c r="Q1702">
        <v>4.5</v>
      </c>
      <c r="R1702"/>
      <c r="S1702"/>
      <c r="T1702"/>
      <c r="U1702"/>
      <c r="V1702"/>
      <c r="W1702">
        <v>18</v>
      </c>
    </row>
    <row r="1703" spans="1:23">
      <c r="A1703"/>
      <c r="B1703" t="s">
        <v>62</v>
      </c>
      <c r="C1703" t="s">
        <v>62</v>
      </c>
      <c r="D1703" t="s">
        <v>33</v>
      </c>
      <c r="E1703" t="s">
        <v>34</v>
      </c>
      <c r="F1703" t="str">
        <f>"0002015"</f>
        <v>0002015</v>
      </c>
      <c r="G1703">
        <v>1</v>
      </c>
      <c r="H1703" t="str">
        <f>"00000000"</f>
        <v>00000000</v>
      </c>
      <c r="I1703" t="s">
        <v>35</v>
      </c>
      <c r="J1703"/>
      <c r="K1703">
        <v>24.53</v>
      </c>
      <c r="L1703">
        <v>0.0</v>
      </c>
      <c r="M1703"/>
      <c r="N1703"/>
      <c r="O1703">
        <v>4.42</v>
      </c>
      <c r="P1703">
        <v>0.2</v>
      </c>
      <c r="Q1703">
        <v>29.15</v>
      </c>
      <c r="R1703"/>
      <c r="S1703"/>
      <c r="T1703"/>
      <c r="U1703"/>
      <c r="V1703"/>
      <c r="W1703">
        <v>18</v>
      </c>
    </row>
    <row r="1704" spans="1:23">
      <c r="A1704"/>
      <c r="B1704" t="s">
        <v>62</v>
      </c>
      <c r="C1704" t="s">
        <v>62</v>
      </c>
      <c r="D1704" t="s">
        <v>33</v>
      </c>
      <c r="E1704" t="s">
        <v>34</v>
      </c>
      <c r="F1704" t="str">
        <f>"0002016"</f>
        <v>0002016</v>
      </c>
      <c r="G1704">
        <v>1</v>
      </c>
      <c r="H1704" t="str">
        <f>"00000000"</f>
        <v>00000000</v>
      </c>
      <c r="I1704" t="s">
        <v>35</v>
      </c>
      <c r="J1704"/>
      <c r="K1704">
        <v>8.67</v>
      </c>
      <c r="L1704">
        <v>0.0</v>
      </c>
      <c r="M1704"/>
      <c r="N1704"/>
      <c r="O1704">
        <v>1.56</v>
      </c>
      <c r="P1704">
        <v>0.0</v>
      </c>
      <c r="Q1704">
        <v>10.23</v>
      </c>
      <c r="R1704"/>
      <c r="S1704"/>
      <c r="T1704"/>
      <c r="U1704"/>
      <c r="V1704"/>
      <c r="W1704">
        <v>18</v>
      </c>
    </row>
    <row r="1705" spans="1:23">
      <c r="A1705"/>
      <c r="B1705" t="s">
        <v>62</v>
      </c>
      <c r="C1705" t="s">
        <v>62</v>
      </c>
      <c r="D1705" t="s">
        <v>33</v>
      </c>
      <c r="E1705" t="s">
        <v>34</v>
      </c>
      <c r="F1705" t="str">
        <f>"0002017"</f>
        <v>0002017</v>
      </c>
      <c r="G1705">
        <v>1</v>
      </c>
      <c r="H1705" t="str">
        <f>"00000000"</f>
        <v>00000000</v>
      </c>
      <c r="I1705" t="s">
        <v>35</v>
      </c>
      <c r="J1705"/>
      <c r="K1705">
        <v>19.91</v>
      </c>
      <c r="L1705">
        <v>0.0</v>
      </c>
      <c r="M1705"/>
      <c r="N1705"/>
      <c r="O1705">
        <v>3.58</v>
      </c>
      <c r="P1705">
        <v>0.2</v>
      </c>
      <c r="Q1705">
        <v>23.69</v>
      </c>
      <c r="R1705"/>
      <c r="S1705"/>
      <c r="T1705"/>
      <c r="U1705"/>
      <c r="V1705"/>
      <c r="W1705">
        <v>18</v>
      </c>
    </row>
    <row r="1706" spans="1:23">
      <c r="A1706"/>
      <c r="B1706" t="s">
        <v>62</v>
      </c>
      <c r="C1706" t="s">
        <v>62</v>
      </c>
      <c r="D1706" t="s">
        <v>33</v>
      </c>
      <c r="E1706" t="s">
        <v>34</v>
      </c>
      <c r="F1706" t="str">
        <f>"0002018"</f>
        <v>0002018</v>
      </c>
      <c r="G1706">
        <v>1</v>
      </c>
      <c r="H1706" t="str">
        <f>"00000000"</f>
        <v>00000000</v>
      </c>
      <c r="I1706" t="s">
        <v>35</v>
      </c>
      <c r="J1706"/>
      <c r="K1706">
        <v>38.64</v>
      </c>
      <c r="L1706">
        <v>0.0</v>
      </c>
      <c r="M1706"/>
      <c r="N1706"/>
      <c r="O1706">
        <v>6.96</v>
      </c>
      <c r="P1706">
        <v>0.2</v>
      </c>
      <c r="Q1706">
        <v>45.8</v>
      </c>
      <c r="R1706"/>
      <c r="S1706"/>
      <c r="T1706"/>
      <c r="U1706"/>
      <c r="V1706"/>
      <c r="W1706">
        <v>18</v>
      </c>
    </row>
    <row r="1707" spans="1:23">
      <c r="A1707"/>
      <c r="B1707" t="s">
        <v>62</v>
      </c>
      <c r="C1707" t="s">
        <v>62</v>
      </c>
      <c r="D1707" t="s">
        <v>33</v>
      </c>
      <c r="E1707" t="s">
        <v>34</v>
      </c>
      <c r="F1707" t="str">
        <f>"0002023"</f>
        <v>0002023</v>
      </c>
      <c r="G1707">
        <v>6</v>
      </c>
      <c r="H1707" t="str">
        <f>"70106003"</f>
        <v>70106003</v>
      </c>
      <c r="I1707">
        <v>70106003</v>
      </c>
      <c r="J1707"/>
      <c r="K1707">
        <v>13.19</v>
      </c>
      <c r="L1707">
        <v>0.0</v>
      </c>
      <c r="M1707"/>
      <c r="N1707"/>
      <c r="O1707">
        <v>2.37</v>
      </c>
      <c r="P1707">
        <v>0.2</v>
      </c>
      <c r="Q1707">
        <v>15.76</v>
      </c>
      <c r="R1707"/>
      <c r="S1707"/>
      <c r="T1707"/>
      <c r="U1707"/>
      <c r="V1707"/>
      <c r="W1707">
        <v>18</v>
      </c>
    </row>
    <row r="1708" spans="1:23">
      <c r="A1708"/>
      <c r="B1708" t="s">
        <v>62</v>
      </c>
      <c r="C1708" t="s">
        <v>62</v>
      </c>
      <c r="D1708" t="s">
        <v>33</v>
      </c>
      <c r="E1708" t="s">
        <v>34</v>
      </c>
      <c r="F1708" t="str">
        <f>"0002019"</f>
        <v>0002019</v>
      </c>
      <c r="G1708">
        <v>1</v>
      </c>
      <c r="H1708" t="str">
        <f>"00000000"</f>
        <v>00000000</v>
      </c>
      <c r="I1708" t="s">
        <v>35</v>
      </c>
      <c r="J1708"/>
      <c r="K1708">
        <v>28.47</v>
      </c>
      <c r="L1708">
        <v>0.0</v>
      </c>
      <c r="M1708"/>
      <c r="N1708"/>
      <c r="O1708">
        <v>5.12</v>
      </c>
      <c r="P1708">
        <v>0.2</v>
      </c>
      <c r="Q1708">
        <v>33.79</v>
      </c>
      <c r="R1708"/>
      <c r="S1708"/>
      <c r="T1708"/>
      <c r="U1708"/>
      <c r="V1708"/>
      <c r="W1708">
        <v>18</v>
      </c>
    </row>
    <row r="1709" spans="1:23">
      <c r="A1709"/>
      <c r="B1709" t="s">
        <v>62</v>
      </c>
      <c r="C1709" t="s">
        <v>62</v>
      </c>
      <c r="D1709" t="s">
        <v>33</v>
      </c>
      <c r="E1709" t="s">
        <v>34</v>
      </c>
      <c r="F1709" t="str">
        <f>"0002020"</f>
        <v>0002020</v>
      </c>
      <c r="G1709">
        <v>1</v>
      </c>
      <c r="H1709" t="str">
        <f>"00000000"</f>
        <v>00000000</v>
      </c>
      <c r="I1709" t="s">
        <v>35</v>
      </c>
      <c r="J1709"/>
      <c r="K1709">
        <v>0.08</v>
      </c>
      <c r="L1709">
        <v>0.0</v>
      </c>
      <c r="M1709"/>
      <c r="N1709"/>
      <c r="O1709">
        <v>0.02</v>
      </c>
      <c r="P1709">
        <v>0.2</v>
      </c>
      <c r="Q1709">
        <v>0.3</v>
      </c>
      <c r="R1709"/>
      <c r="S1709"/>
      <c r="T1709"/>
      <c r="U1709"/>
      <c r="V1709"/>
      <c r="W1709">
        <v>18</v>
      </c>
    </row>
    <row r="1710" spans="1:23">
      <c r="A1710"/>
      <c r="B1710" t="s">
        <v>62</v>
      </c>
      <c r="C1710" t="s">
        <v>62</v>
      </c>
      <c r="D1710" t="s">
        <v>33</v>
      </c>
      <c r="E1710" t="s">
        <v>34</v>
      </c>
      <c r="F1710" t="str">
        <f>"0002021"</f>
        <v>0002021</v>
      </c>
      <c r="G1710">
        <v>1</v>
      </c>
      <c r="H1710" t="str">
        <f>"00000000"</f>
        <v>00000000</v>
      </c>
      <c r="I1710" t="s">
        <v>35</v>
      </c>
      <c r="J1710"/>
      <c r="K1710">
        <v>8.98</v>
      </c>
      <c r="L1710">
        <v>0.0</v>
      </c>
      <c r="M1710"/>
      <c r="N1710"/>
      <c r="O1710">
        <v>1.62</v>
      </c>
      <c r="P1710">
        <v>0.2</v>
      </c>
      <c r="Q1710">
        <v>10.8</v>
      </c>
      <c r="R1710"/>
      <c r="S1710"/>
      <c r="T1710"/>
      <c r="U1710"/>
      <c r="V1710"/>
      <c r="W1710">
        <v>18</v>
      </c>
    </row>
    <row r="1711" spans="1:23">
      <c r="A1711"/>
      <c r="B1711" t="s">
        <v>62</v>
      </c>
      <c r="C1711" t="s">
        <v>62</v>
      </c>
      <c r="D1711" t="s">
        <v>33</v>
      </c>
      <c r="E1711" t="s">
        <v>34</v>
      </c>
      <c r="F1711" t="str">
        <f>"0002022"</f>
        <v>0002022</v>
      </c>
      <c r="G1711">
        <v>1</v>
      </c>
      <c r="H1711" t="str">
        <f>"00000000"</f>
        <v>00000000</v>
      </c>
      <c r="I1711" t="s">
        <v>35</v>
      </c>
      <c r="J1711"/>
      <c r="K1711">
        <v>4.15</v>
      </c>
      <c r="L1711">
        <v>0.0</v>
      </c>
      <c r="M1711"/>
      <c r="N1711"/>
      <c r="O1711">
        <v>0.75</v>
      </c>
      <c r="P1711">
        <v>0.0</v>
      </c>
      <c r="Q1711">
        <v>4.9</v>
      </c>
      <c r="R1711"/>
      <c r="S1711"/>
      <c r="T1711"/>
      <c r="U1711"/>
      <c r="V1711"/>
      <c r="W1711">
        <v>18</v>
      </c>
    </row>
    <row r="1712" spans="1:23">
      <c r="A1712"/>
      <c r="B1712" t="s">
        <v>62</v>
      </c>
      <c r="C1712" t="s">
        <v>62</v>
      </c>
      <c r="D1712" t="s">
        <v>33</v>
      </c>
      <c r="E1712" t="s">
        <v>34</v>
      </c>
      <c r="F1712" t="str">
        <f>"0002024"</f>
        <v>0002024</v>
      </c>
      <c r="G1712">
        <v>1</v>
      </c>
      <c r="H1712" t="str">
        <f>"00000000"</f>
        <v>00000000</v>
      </c>
      <c r="I1712" t="s">
        <v>35</v>
      </c>
      <c r="J1712"/>
      <c r="K1712">
        <v>11.21</v>
      </c>
      <c r="L1712">
        <v>0.0</v>
      </c>
      <c r="M1712"/>
      <c r="N1712"/>
      <c r="O1712">
        <v>2.02</v>
      </c>
      <c r="P1712">
        <v>0.2</v>
      </c>
      <c r="Q1712">
        <v>13.43</v>
      </c>
      <c r="R1712"/>
      <c r="S1712"/>
      <c r="T1712"/>
      <c r="U1712"/>
      <c r="V1712"/>
      <c r="W1712">
        <v>18</v>
      </c>
    </row>
    <row r="1713" spans="1:23">
      <c r="A1713"/>
      <c r="B1713" t="s">
        <v>62</v>
      </c>
      <c r="C1713" t="s">
        <v>62</v>
      </c>
      <c r="D1713" t="s">
        <v>33</v>
      </c>
      <c r="E1713" t="s">
        <v>34</v>
      </c>
      <c r="F1713" t="str">
        <f>"0002025"</f>
        <v>0002025</v>
      </c>
      <c r="G1713">
        <v>1</v>
      </c>
      <c r="H1713" t="str">
        <f>"00000000"</f>
        <v>00000000</v>
      </c>
      <c r="I1713" t="s">
        <v>35</v>
      </c>
      <c r="J1713"/>
      <c r="K1713">
        <v>6.36</v>
      </c>
      <c r="L1713">
        <v>0.0</v>
      </c>
      <c r="M1713"/>
      <c r="N1713"/>
      <c r="O1713">
        <v>1.14</v>
      </c>
      <c r="P1713">
        <v>0.0</v>
      </c>
      <c r="Q1713">
        <v>7.5</v>
      </c>
      <c r="R1713"/>
      <c r="S1713"/>
      <c r="T1713"/>
      <c r="U1713"/>
      <c r="V1713"/>
      <c r="W1713">
        <v>18</v>
      </c>
    </row>
    <row r="1714" spans="1:23">
      <c r="A1714"/>
      <c r="B1714" t="s">
        <v>62</v>
      </c>
      <c r="C1714" t="s">
        <v>62</v>
      </c>
      <c r="D1714" t="s">
        <v>33</v>
      </c>
      <c r="E1714" t="s">
        <v>34</v>
      </c>
      <c r="F1714" t="str">
        <f>"0002026"</f>
        <v>0002026</v>
      </c>
      <c r="G1714">
        <v>1</v>
      </c>
      <c r="H1714" t="str">
        <f>"00000000"</f>
        <v>00000000</v>
      </c>
      <c r="I1714" t="s">
        <v>35</v>
      </c>
      <c r="J1714"/>
      <c r="K1714">
        <v>1.97</v>
      </c>
      <c r="L1714">
        <v>0.0</v>
      </c>
      <c r="M1714"/>
      <c r="N1714"/>
      <c r="O1714">
        <v>0.36</v>
      </c>
      <c r="P1714">
        <v>0.2</v>
      </c>
      <c r="Q1714">
        <v>2.53</v>
      </c>
      <c r="R1714"/>
      <c r="S1714"/>
      <c r="T1714"/>
      <c r="U1714"/>
      <c r="V1714"/>
      <c r="W1714">
        <v>18</v>
      </c>
    </row>
    <row r="1715" spans="1:23">
      <c r="A1715"/>
      <c r="B1715" t="s">
        <v>62</v>
      </c>
      <c r="C1715" t="s">
        <v>62</v>
      </c>
      <c r="D1715" t="s">
        <v>33</v>
      </c>
      <c r="E1715" t="s">
        <v>34</v>
      </c>
      <c r="F1715" t="str">
        <f>"0002027"</f>
        <v>0002027</v>
      </c>
      <c r="G1715">
        <v>1</v>
      </c>
      <c r="H1715" t="str">
        <f>"00000000"</f>
        <v>00000000</v>
      </c>
      <c r="I1715" t="s">
        <v>35</v>
      </c>
      <c r="J1715"/>
      <c r="K1715">
        <v>25.42</v>
      </c>
      <c r="L1715">
        <v>0.0</v>
      </c>
      <c r="M1715"/>
      <c r="N1715"/>
      <c r="O1715">
        <v>4.58</v>
      </c>
      <c r="P1715">
        <v>0.0</v>
      </c>
      <c r="Q1715">
        <v>30.0</v>
      </c>
      <c r="R1715"/>
      <c r="S1715"/>
      <c r="T1715"/>
      <c r="U1715"/>
      <c r="V1715"/>
      <c r="W1715">
        <v>18</v>
      </c>
    </row>
    <row r="1716" spans="1:23">
      <c r="A1716"/>
      <c r="B1716" t="s">
        <v>62</v>
      </c>
      <c r="C1716" t="s">
        <v>62</v>
      </c>
      <c r="D1716" t="s">
        <v>33</v>
      </c>
      <c r="E1716" t="s">
        <v>34</v>
      </c>
      <c r="F1716" t="str">
        <f>"0002028"</f>
        <v>0002028</v>
      </c>
      <c r="G1716">
        <v>1</v>
      </c>
      <c r="H1716" t="str">
        <f>"00000000"</f>
        <v>00000000</v>
      </c>
      <c r="I1716" t="s">
        <v>35</v>
      </c>
      <c r="J1716"/>
      <c r="K1716">
        <v>2.03</v>
      </c>
      <c r="L1716">
        <v>0.0</v>
      </c>
      <c r="M1716"/>
      <c r="N1716"/>
      <c r="O1716">
        <v>0.37</v>
      </c>
      <c r="P1716">
        <v>0.0</v>
      </c>
      <c r="Q1716">
        <v>2.4</v>
      </c>
      <c r="R1716"/>
      <c r="S1716"/>
      <c r="T1716"/>
      <c r="U1716"/>
      <c r="V1716"/>
      <c r="W1716">
        <v>18</v>
      </c>
    </row>
    <row r="1717" spans="1:23">
      <c r="A1717"/>
      <c r="B1717" t="s">
        <v>62</v>
      </c>
      <c r="C1717" t="s">
        <v>62</v>
      </c>
      <c r="D1717" t="s">
        <v>33</v>
      </c>
      <c r="E1717" t="s">
        <v>34</v>
      </c>
      <c r="F1717" t="str">
        <f>"0002029"</f>
        <v>0002029</v>
      </c>
      <c r="G1717">
        <v>1</v>
      </c>
      <c r="H1717" t="str">
        <f>"00000000"</f>
        <v>00000000</v>
      </c>
      <c r="I1717" t="s">
        <v>35</v>
      </c>
      <c r="J1717"/>
      <c r="K1717">
        <v>5.7</v>
      </c>
      <c r="L1717">
        <v>0.0</v>
      </c>
      <c r="M1717"/>
      <c r="N1717"/>
      <c r="O1717">
        <v>1.03</v>
      </c>
      <c r="P1717">
        <v>0.0</v>
      </c>
      <c r="Q1717">
        <v>6.73</v>
      </c>
      <c r="R1717"/>
      <c r="S1717"/>
      <c r="T1717"/>
      <c r="U1717"/>
      <c r="V1717"/>
      <c r="W1717">
        <v>18</v>
      </c>
    </row>
    <row r="1718" spans="1:23">
      <c r="A1718"/>
      <c r="B1718" t="s">
        <v>63</v>
      </c>
      <c r="C1718" t="s">
        <v>63</v>
      </c>
      <c r="D1718" t="s">
        <v>33</v>
      </c>
      <c r="E1718" t="s">
        <v>34</v>
      </c>
      <c r="F1718" t="str">
        <f>"0002030"</f>
        <v>0002030</v>
      </c>
      <c r="G1718">
        <v>1</v>
      </c>
      <c r="H1718" t="str">
        <f>"00000000"</f>
        <v>00000000</v>
      </c>
      <c r="I1718" t="s">
        <v>35</v>
      </c>
      <c r="J1718"/>
      <c r="K1718">
        <v>0.39</v>
      </c>
      <c r="L1718">
        <v>0.0</v>
      </c>
      <c r="M1718"/>
      <c r="N1718"/>
      <c r="O1718">
        <v>0.07</v>
      </c>
      <c r="P1718">
        <v>0.0</v>
      </c>
      <c r="Q1718">
        <v>0.46</v>
      </c>
      <c r="R1718"/>
      <c r="S1718"/>
      <c r="T1718"/>
      <c r="U1718"/>
      <c r="V1718"/>
      <c r="W1718">
        <v>18</v>
      </c>
    </row>
    <row r="1719" spans="1:23">
      <c r="A1719"/>
      <c r="B1719" t="s">
        <v>63</v>
      </c>
      <c r="C1719" t="s">
        <v>63</v>
      </c>
      <c r="D1719" t="s">
        <v>33</v>
      </c>
      <c r="E1719" t="s">
        <v>34</v>
      </c>
      <c r="F1719" t="str">
        <f>"0002031"</f>
        <v>0002031</v>
      </c>
      <c r="G1719">
        <v>1</v>
      </c>
      <c r="H1719" t="str">
        <f>"00000000"</f>
        <v>00000000</v>
      </c>
      <c r="I1719" t="s">
        <v>35</v>
      </c>
      <c r="J1719"/>
      <c r="K1719">
        <v>14.07</v>
      </c>
      <c r="L1719">
        <v>0.0</v>
      </c>
      <c r="M1719"/>
      <c r="N1719"/>
      <c r="O1719">
        <v>2.53</v>
      </c>
      <c r="P1719">
        <v>0.2</v>
      </c>
      <c r="Q1719">
        <v>16.8</v>
      </c>
      <c r="R1719"/>
      <c r="S1719"/>
      <c r="T1719"/>
      <c r="U1719"/>
      <c r="V1719"/>
      <c r="W1719">
        <v>18</v>
      </c>
    </row>
    <row r="1720" spans="1:23">
      <c r="A1720"/>
      <c r="B1720" t="s">
        <v>63</v>
      </c>
      <c r="C1720" t="s">
        <v>63</v>
      </c>
      <c r="D1720" t="s">
        <v>33</v>
      </c>
      <c r="E1720" t="s">
        <v>34</v>
      </c>
      <c r="F1720" t="str">
        <f>"0002032"</f>
        <v>0002032</v>
      </c>
      <c r="G1720">
        <v>1</v>
      </c>
      <c r="H1720" t="str">
        <f>"00000000"</f>
        <v>00000000</v>
      </c>
      <c r="I1720" t="s">
        <v>35</v>
      </c>
      <c r="J1720"/>
      <c r="K1720">
        <v>3.39</v>
      </c>
      <c r="L1720">
        <v>0.0</v>
      </c>
      <c r="M1720"/>
      <c r="N1720"/>
      <c r="O1720">
        <v>0.61</v>
      </c>
      <c r="P1720">
        <v>0.0</v>
      </c>
      <c r="Q1720">
        <v>4.0</v>
      </c>
      <c r="R1720"/>
      <c r="S1720"/>
      <c r="T1720"/>
      <c r="U1720"/>
      <c r="V1720"/>
      <c r="W1720">
        <v>18</v>
      </c>
    </row>
    <row r="1721" spans="1:23">
      <c r="A1721"/>
      <c r="B1721" t="s">
        <v>63</v>
      </c>
      <c r="C1721" t="s">
        <v>63</v>
      </c>
      <c r="D1721" t="s">
        <v>33</v>
      </c>
      <c r="E1721" t="s">
        <v>34</v>
      </c>
      <c r="F1721" t="str">
        <f>"0002033"</f>
        <v>0002033</v>
      </c>
      <c r="G1721">
        <v>1</v>
      </c>
      <c r="H1721" t="str">
        <f>"00000000"</f>
        <v>00000000</v>
      </c>
      <c r="I1721" t="s">
        <v>35</v>
      </c>
      <c r="J1721"/>
      <c r="K1721">
        <v>12.2</v>
      </c>
      <c r="L1721">
        <v>0.0</v>
      </c>
      <c r="M1721"/>
      <c r="N1721"/>
      <c r="O1721">
        <v>2.2</v>
      </c>
      <c r="P1721">
        <v>0.0</v>
      </c>
      <c r="Q1721">
        <v>14.4</v>
      </c>
      <c r="R1721"/>
      <c r="S1721"/>
      <c r="T1721"/>
      <c r="U1721"/>
      <c r="V1721"/>
      <c r="W1721">
        <v>18</v>
      </c>
    </row>
    <row r="1722" spans="1:23">
      <c r="A1722"/>
      <c r="B1722" t="s">
        <v>63</v>
      </c>
      <c r="C1722" t="s">
        <v>63</v>
      </c>
      <c r="D1722" t="s">
        <v>33</v>
      </c>
      <c r="E1722" t="s">
        <v>34</v>
      </c>
      <c r="F1722" t="str">
        <f>"0002034"</f>
        <v>0002034</v>
      </c>
      <c r="G1722">
        <v>1</v>
      </c>
      <c r="H1722" t="str">
        <f>"00000000"</f>
        <v>00000000</v>
      </c>
      <c r="I1722" t="s">
        <v>35</v>
      </c>
      <c r="J1722"/>
      <c r="K1722">
        <v>7.29</v>
      </c>
      <c r="L1722">
        <v>0.0</v>
      </c>
      <c r="M1722"/>
      <c r="N1722"/>
      <c r="O1722">
        <v>1.31</v>
      </c>
      <c r="P1722">
        <v>0.0</v>
      </c>
      <c r="Q1722">
        <v>8.6</v>
      </c>
      <c r="R1722"/>
      <c r="S1722"/>
      <c r="T1722"/>
      <c r="U1722"/>
      <c r="V1722"/>
      <c r="W1722">
        <v>18</v>
      </c>
    </row>
    <row r="1723" spans="1:23">
      <c r="A1723"/>
      <c r="B1723" t="s">
        <v>63</v>
      </c>
      <c r="C1723" t="s">
        <v>63</v>
      </c>
      <c r="D1723" t="s">
        <v>33</v>
      </c>
      <c r="E1723" t="s">
        <v>34</v>
      </c>
      <c r="F1723" t="str">
        <f>"0002035"</f>
        <v>0002035</v>
      </c>
      <c r="G1723">
        <v>1</v>
      </c>
      <c r="H1723" t="str">
        <f>"00000000"</f>
        <v>00000000</v>
      </c>
      <c r="I1723" t="s">
        <v>35</v>
      </c>
      <c r="J1723"/>
      <c r="K1723">
        <v>7.2</v>
      </c>
      <c r="L1723">
        <v>0.0</v>
      </c>
      <c r="M1723"/>
      <c r="N1723"/>
      <c r="O1723">
        <v>1.3</v>
      </c>
      <c r="P1723">
        <v>0.0</v>
      </c>
      <c r="Q1723">
        <v>8.5</v>
      </c>
      <c r="R1723"/>
      <c r="S1723"/>
      <c r="T1723"/>
      <c r="U1723"/>
      <c r="V1723"/>
      <c r="W1723">
        <v>18</v>
      </c>
    </row>
    <row r="1724" spans="1:23">
      <c r="A1724"/>
      <c r="B1724" t="s">
        <v>63</v>
      </c>
      <c r="C1724" t="s">
        <v>63</v>
      </c>
      <c r="D1724" t="s">
        <v>33</v>
      </c>
      <c r="E1724" t="s">
        <v>34</v>
      </c>
      <c r="F1724" t="str">
        <f>"0002036"</f>
        <v>0002036</v>
      </c>
      <c r="G1724">
        <v>1</v>
      </c>
      <c r="H1724" t="str">
        <f>"00000000"</f>
        <v>00000000</v>
      </c>
      <c r="I1724" t="s">
        <v>35</v>
      </c>
      <c r="J1724"/>
      <c r="K1724">
        <v>3.88</v>
      </c>
      <c r="L1724">
        <v>0.0</v>
      </c>
      <c r="M1724"/>
      <c r="N1724"/>
      <c r="O1724">
        <v>0.7</v>
      </c>
      <c r="P1724">
        <v>0.0</v>
      </c>
      <c r="Q1724">
        <v>4.58</v>
      </c>
      <c r="R1724"/>
      <c r="S1724"/>
      <c r="T1724"/>
      <c r="U1724"/>
      <c r="V1724"/>
      <c r="W1724">
        <v>18</v>
      </c>
    </row>
    <row r="1725" spans="1:23">
      <c r="A1725"/>
      <c r="B1725" t="s">
        <v>63</v>
      </c>
      <c r="C1725" t="s">
        <v>63</v>
      </c>
      <c r="D1725" t="s">
        <v>33</v>
      </c>
      <c r="E1725" t="s">
        <v>34</v>
      </c>
      <c r="F1725" t="str">
        <f>"0002037"</f>
        <v>0002037</v>
      </c>
      <c r="G1725">
        <v>1</v>
      </c>
      <c r="H1725" t="str">
        <f>"00000000"</f>
        <v>00000000</v>
      </c>
      <c r="I1725" t="s">
        <v>35</v>
      </c>
      <c r="J1725"/>
      <c r="K1725">
        <v>12.71</v>
      </c>
      <c r="L1725">
        <v>0.0</v>
      </c>
      <c r="M1725"/>
      <c r="N1725"/>
      <c r="O1725">
        <v>2.29</v>
      </c>
      <c r="P1725">
        <v>0.0</v>
      </c>
      <c r="Q1725">
        <v>15.0</v>
      </c>
      <c r="R1725"/>
      <c r="S1725"/>
      <c r="T1725"/>
      <c r="U1725"/>
      <c r="V1725"/>
      <c r="W1725">
        <v>18</v>
      </c>
    </row>
    <row r="1726" spans="1:23">
      <c r="A1726"/>
      <c r="B1726" t="s">
        <v>63</v>
      </c>
      <c r="C1726" t="s">
        <v>63</v>
      </c>
      <c r="D1726" t="s">
        <v>33</v>
      </c>
      <c r="E1726" t="s">
        <v>34</v>
      </c>
      <c r="F1726" t="str">
        <f>"0002038"</f>
        <v>0002038</v>
      </c>
      <c r="G1726">
        <v>1</v>
      </c>
      <c r="H1726" t="str">
        <f>"00000000"</f>
        <v>00000000</v>
      </c>
      <c r="I1726" t="s">
        <v>35</v>
      </c>
      <c r="J1726"/>
      <c r="K1726">
        <v>14.02</v>
      </c>
      <c r="L1726">
        <v>0.0</v>
      </c>
      <c r="M1726"/>
      <c r="N1726"/>
      <c r="O1726">
        <v>2.52</v>
      </c>
      <c r="P1726">
        <v>0.0</v>
      </c>
      <c r="Q1726">
        <v>16.54</v>
      </c>
      <c r="R1726"/>
      <c r="S1726"/>
      <c r="T1726"/>
      <c r="U1726"/>
      <c r="V1726"/>
      <c r="W1726">
        <v>18</v>
      </c>
    </row>
    <row r="1727" spans="1:23">
      <c r="A1727"/>
      <c r="B1727" t="s">
        <v>63</v>
      </c>
      <c r="C1727" t="s">
        <v>63</v>
      </c>
      <c r="D1727" t="s">
        <v>33</v>
      </c>
      <c r="E1727" t="s">
        <v>34</v>
      </c>
      <c r="F1727" t="str">
        <f>"0002039"</f>
        <v>0002039</v>
      </c>
      <c r="G1727">
        <v>1</v>
      </c>
      <c r="H1727" t="str">
        <f>"00000000"</f>
        <v>00000000</v>
      </c>
      <c r="I1727" t="s">
        <v>35</v>
      </c>
      <c r="J1727"/>
      <c r="K1727">
        <v>23.18</v>
      </c>
      <c r="L1727">
        <v>0.0</v>
      </c>
      <c r="M1727"/>
      <c r="N1727"/>
      <c r="O1727">
        <v>4.17</v>
      </c>
      <c r="P1727">
        <v>0.0</v>
      </c>
      <c r="Q1727">
        <v>27.35</v>
      </c>
      <c r="R1727"/>
      <c r="S1727"/>
      <c r="T1727"/>
      <c r="U1727"/>
      <c r="V1727"/>
      <c r="W1727">
        <v>18</v>
      </c>
    </row>
    <row r="1728" spans="1:23">
      <c r="A1728"/>
      <c r="B1728" t="s">
        <v>63</v>
      </c>
      <c r="C1728" t="s">
        <v>63</v>
      </c>
      <c r="D1728" t="s">
        <v>33</v>
      </c>
      <c r="E1728" t="s">
        <v>34</v>
      </c>
      <c r="F1728" t="str">
        <f>"0002040"</f>
        <v>0002040</v>
      </c>
      <c r="G1728">
        <v>1</v>
      </c>
      <c r="H1728" t="str">
        <f>"00000000"</f>
        <v>00000000</v>
      </c>
      <c r="I1728" t="s">
        <v>35</v>
      </c>
      <c r="J1728"/>
      <c r="K1728">
        <v>12.93</v>
      </c>
      <c r="L1728">
        <v>0.0</v>
      </c>
      <c r="M1728"/>
      <c r="N1728"/>
      <c r="O1728">
        <v>2.33</v>
      </c>
      <c r="P1728">
        <v>0.0</v>
      </c>
      <c r="Q1728">
        <v>15.26</v>
      </c>
      <c r="R1728"/>
      <c r="S1728"/>
      <c r="T1728"/>
      <c r="U1728"/>
      <c r="V1728"/>
      <c r="W1728">
        <v>18</v>
      </c>
    </row>
    <row r="1729" spans="1:23">
      <c r="A1729"/>
      <c r="B1729" t="s">
        <v>63</v>
      </c>
      <c r="C1729" t="s">
        <v>63</v>
      </c>
      <c r="D1729" t="s">
        <v>33</v>
      </c>
      <c r="E1729" t="s">
        <v>34</v>
      </c>
      <c r="F1729" t="str">
        <f>"0002041"</f>
        <v>0002041</v>
      </c>
      <c r="G1729">
        <v>1</v>
      </c>
      <c r="H1729" t="str">
        <f>"00000000"</f>
        <v>00000000</v>
      </c>
      <c r="I1729" t="s">
        <v>35</v>
      </c>
      <c r="J1729"/>
      <c r="K1729">
        <v>4.8</v>
      </c>
      <c r="L1729">
        <v>0.0</v>
      </c>
      <c r="M1729"/>
      <c r="N1729"/>
      <c r="O1729">
        <v>0.86</v>
      </c>
      <c r="P1729">
        <v>0.2</v>
      </c>
      <c r="Q1729">
        <v>5.86</v>
      </c>
      <c r="R1729"/>
      <c r="S1729"/>
      <c r="T1729"/>
      <c r="U1729"/>
      <c r="V1729"/>
      <c r="W1729">
        <v>18</v>
      </c>
    </row>
    <row r="1730" spans="1:23">
      <c r="A1730"/>
      <c r="B1730" t="s">
        <v>63</v>
      </c>
      <c r="C1730" t="s">
        <v>63</v>
      </c>
      <c r="D1730" t="s">
        <v>33</v>
      </c>
      <c r="E1730" t="s">
        <v>34</v>
      </c>
      <c r="F1730" t="str">
        <f>"0002042"</f>
        <v>0002042</v>
      </c>
      <c r="G1730">
        <v>1</v>
      </c>
      <c r="H1730" t="str">
        <f>"00000000"</f>
        <v>00000000</v>
      </c>
      <c r="I1730" t="s">
        <v>35</v>
      </c>
      <c r="J1730"/>
      <c r="K1730">
        <v>20.66</v>
      </c>
      <c r="L1730">
        <v>0.0</v>
      </c>
      <c r="M1730"/>
      <c r="N1730"/>
      <c r="O1730">
        <v>3.72</v>
      </c>
      <c r="P1730">
        <v>0.0</v>
      </c>
      <c r="Q1730">
        <v>24.38</v>
      </c>
      <c r="R1730"/>
      <c r="S1730"/>
      <c r="T1730"/>
      <c r="U1730"/>
      <c r="V1730"/>
      <c r="W1730">
        <v>18</v>
      </c>
    </row>
    <row r="1731" spans="1:23">
      <c r="A1731"/>
      <c r="B1731" t="s">
        <v>63</v>
      </c>
      <c r="C1731" t="s">
        <v>63</v>
      </c>
      <c r="D1731" t="s">
        <v>33</v>
      </c>
      <c r="E1731" t="s">
        <v>34</v>
      </c>
      <c r="F1731" t="str">
        <f>"0002043"</f>
        <v>0002043</v>
      </c>
      <c r="G1731">
        <v>1</v>
      </c>
      <c r="H1731" t="str">
        <f>"00000000"</f>
        <v>00000000</v>
      </c>
      <c r="I1731" t="s">
        <v>35</v>
      </c>
      <c r="J1731"/>
      <c r="K1731">
        <v>8.31</v>
      </c>
      <c r="L1731">
        <v>0.0</v>
      </c>
      <c r="M1731"/>
      <c r="N1731"/>
      <c r="O1731">
        <v>1.5</v>
      </c>
      <c r="P1731">
        <v>0.2</v>
      </c>
      <c r="Q1731">
        <v>10.01</v>
      </c>
      <c r="R1731"/>
      <c r="S1731"/>
      <c r="T1731"/>
      <c r="U1731"/>
      <c r="V1731"/>
      <c r="W1731">
        <v>18</v>
      </c>
    </row>
    <row r="1732" spans="1:23">
      <c r="A1732"/>
      <c r="B1732" t="s">
        <v>63</v>
      </c>
      <c r="C1732" t="s">
        <v>63</v>
      </c>
      <c r="D1732" t="s">
        <v>33</v>
      </c>
      <c r="E1732" t="s">
        <v>34</v>
      </c>
      <c r="F1732" t="str">
        <f>"0002044"</f>
        <v>0002044</v>
      </c>
      <c r="G1732">
        <v>1</v>
      </c>
      <c r="H1732" t="str">
        <f>"00000000"</f>
        <v>00000000</v>
      </c>
      <c r="I1732" t="s">
        <v>35</v>
      </c>
      <c r="J1732"/>
      <c r="K1732">
        <v>19.92</v>
      </c>
      <c r="L1732">
        <v>0.0</v>
      </c>
      <c r="M1732"/>
      <c r="N1732"/>
      <c r="O1732">
        <v>3.58</v>
      </c>
      <c r="P1732">
        <v>0.2</v>
      </c>
      <c r="Q1732">
        <v>23.7</v>
      </c>
      <c r="R1732"/>
      <c r="S1732"/>
      <c r="T1732"/>
      <c r="U1732"/>
      <c r="V1732"/>
      <c r="W1732">
        <v>18</v>
      </c>
    </row>
    <row r="1733" spans="1:23">
      <c r="A1733"/>
      <c r="B1733" t="s">
        <v>63</v>
      </c>
      <c r="C1733" t="s">
        <v>63</v>
      </c>
      <c r="D1733" t="s">
        <v>33</v>
      </c>
      <c r="E1733" t="s">
        <v>34</v>
      </c>
      <c r="F1733" t="str">
        <f>"0002045"</f>
        <v>0002045</v>
      </c>
      <c r="G1733">
        <v>1</v>
      </c>
      <c r="H1733" t="str">
        <f>"00000000"</f>
        <v>00000000</v>
      </c>
      <c r="I1733" t="s">
        <v>35</v>
      </c>
      <c r="J1733"/>
      <c r="K1733">
        <v>4.24</v>
      </c>
      <c r="L1733">
        <v>0.0</v>
      </c>
      <c r="M1733"/>
      <c r="N1733"/>
      <c r="O1733">
        <v>0.76</v>
      </c>
      <c r="P1733">
        <v>0.0</v>
      </c>
      <c r="Q1733">
        <v>5.0</v>
      </c>
      <c r="R1733"/>
      <c r="S1733"/>
      <c r="T1733"/>
      <c r="U1733"/>
      <c r="V1733"/>
      <c r="W1733">
        <v>18</v>
      </c>
    </row>
    <row r="1734" spans="1:23">
      <c r="A1734"/>
      <c r="B1734" t="s">
        <v>63</v>
      </c>
      <c r="C1734" t="s">
        <v>63</v>
      </c>
      <c r="D1734" t="s">
        <v>33</v>
      </c>
      <c r="E1734" t="s">
        <v>34</v>
      </c>
      <c r="F1734" t="str">
        <f>"0002046"</f>
        <v>0002046</v>
      </c>
      <c r="G1734">
        <v>1</v>
      </c>
      <c r="H1734" t="str">
        <f>"00000000"</f>
        <v>00000000</v>
      </c>
      <c r="I1734" t="s">
        <v>35</v>
      </c>
      <c r="J1734"/>
      <c r="K1734">
        <v>2.8</v>
      </c>
      <c r="L1734">
        <v>0.0</v>
      </c>
      <c r="M1734"/>
      <c r="N1734"/>
      <c r="O1734">
        <v>0.5</v>
      </c>
      <c r="P1734">
        <v>0.0</v>
      </c>
      <c r="Q1734">
        <v>3.3</v>
      </c>
      <c r="R1734"/>
      <c r="S1734"/>
      <c r="T1734"/>
      <c r="U1734"/>
      <c r="V1734"/>
      <c r="W1734">
        <v>18</v>
      </c>
    </row>
    <row r="1735" spans="1:23">
      <c r="A1735"/>
      <c r="B1735" t="s">
        <v>63</v>
      </c>
      <c r="C1735" t="s">
        <v>63</v>
      </c>
      <c r="D1735" t="s">
        <v>33</v>
      </c>
      <c r="E1735" t="s">
        <v>34</v>
      </c>
      <c r="F1735" t="str">
        <f>"0002047"</f>
        <v>0002047</v>
      </c>
      <c r="G1735">
        <v>1</v>
      </c>
      <c r="H1735" t="str">
        <f>"00000000"</f>
        <v>00000000</v>
      </c>
      <c r="I1735" t="s">
        <v>35</v>
      </c>
      <c r="J1735"/>
      <c r="K1735">
        <v>5.35</v>
      </c>
      <c r="L1735">
        <v>0.0</v>
      </c>
      <c r="M1735"/>
      <c r="N1735"/>
      <c r="O1735">
        <v>0.96</v>
      </c>
      <c r="P1735">
        <v>0.0</v>
      </c>
      <c r="Q1735">
        <v>6.31</v>
      </c>
      <c r="R1735"/>
      <c r="S1735"/>
      <c r="T1735"/>
      <c r="U1735"/>
      <c r="V1735"/>
      <c r="W1735">
        <v>18</v>
      </c>
    </row>
    <row r="1736" spans="1:23">
      <c r="A1736"/>
      <c r="B1736" t="s">
        <v>63</v>
      </c>
      <c r="C1736" t="s">
        <v>63</v>
      </c>
      <c r="D1736" t="s">
        <v>33</v>
      </c>
      <c r="E1736" t="s">
        <v>34</v>
      </c>
      <c r="F1736" t="str">
        <f>"0002048"</f>
        <v>0002048</v>
      </c>
      <c r="G1736">
        <v>1</v>
      </c>
      <c r="H1736" t="str">
        <f>"00000000"</f>
        <v>00000000</v>
      </c>
      <c r="I1736" t="s">
        <v>35</v>
      </c>
      <c r="J1736"/>
      <c r="K1736">
        <v>12.88</v>
      </c>
      <c r="L1736">
        <v>0.0</v>
      </c>
      <c r="M1736"/>
      <c r="N1736"/>
      <c r="O1736">
        <v>2.32</v>
      </c>
      <c r="P1736">
        <v>0.0</v>
      </c>
      <c r="Q1736">
        <v>15.2</v>
      </c>
      <c r="R1736"/>
      <c r="S1736"/>
      <c r="T1736"/>
      <c r="U1736"/>
      <c r="V1736"/>
      <c r="W1736">
        <v>18</v>
      </c>
    </row>
    <row r="1737" spans="1:23">
      <c r="A1737"/>
      <c r="B1737" t="s">
        <v>63</v>
      </c>
      <c r="C1737" t="s">
        <v>63</v>
      </c>
      <c r="D1737" t="s">
        <v>33</v>
      </c>
      <c r="E1737" t="s">
        <v>34</v>
      </c>
      <c r="F1737" t="str">
        <f>"0002049"</f>
        <v>0002049</v>
      </c>
      <c r="G1737">
        <v>1</v>
      </c>
      <c r="H1737" t="str">
        <f>"00000000"</f>
        <v>00000000</v>
      </c>
      <c r="I1737" t="s">
        <v>35</v>
      </c>
      <c r="J1737"/>
      <c r="K1737">
        <v>84.45</v>
      </c>
      <c r="L1737">
        <v>0.0</v>
      </c>
      <c r="M1737"/>
      <c r="N1737"/>
      <c r="O1737">
        <v>15.2</v>
      </c>
      <c r="P1737">
        <v>0.0</v>
      </c>
      <c r="Q1737">
        <v>99.65</v>
      </c>
      <c r="R1737"/>
      <c r="S1737"/>
      <c r="T1737"/>
      <c r="U1737"/>
      <c r="V1737"/>
      <c r="W1737">
        <v>18</v>
      </c>
    </row>
    <row r="1738" spans="1:23">
      <c r="A1738"/>
      <c r="B1738" t="s">
        <v>63</v>
      </c>
      <c r="C1738" t="s">
        <v>63</v>
      </c>
      <c r="D1738" t="s">
        <v>33</v>
      </c>
      <c r="E1738" t="s">
        <v>34</v>
      </c>
      <c r="F1738" t="str">
        <f>"0002050"</f>
        <v>0002050</v>
      </c>
      <c r="G1738">
        <v>1</v>
      </c>
      <c r="H1738" t="str">
        <f>"00000000"</f>
        <v>00000000</v>
      </c>
      <c r="I1738" t="s">
        <v>35</v>
      </c>
      <c r="J1738"/>
      <c r="K1738">
        <v>3.86</v>
      </c>
      <c r="L1738">
        <v>0.0</v>
      </c>
      <c r="M1738"/>
      <c r="N1738"/>
      <c r="O1738">
        <v>0.69</v>
      </c>
      <c r="P1738">
        <v>0.2</v>
      </c>
      <c r="Q1738">
        <v>4.75</v>
      </c>
      <c r="R1738"/>
      <c r="S1738"/>
      <c r="T1738"/>
      <c r="U1738"/>
      <c r="V1738"/>
      <c r="W1738">
        <v>18</v>
      </c>
    </row>
    <row r="1739" spans="1:23">
      <c r="A1739"/>
      <c r="B1739" t="s">
        <v>63</v>
      </c>
      <c r="C1739" t="s">
        <v>63</v>
      </c>
      <c r="D1739" t="s">
        <v>33</v>
      </c>
      <c r="E1739" t="s">
        <v>34</v>
      </c>
      <c r="F1739" t="str">
        <f>"0002051"</f>
        <v>0002051</v>
      </c>
      <c r="G1739">
        <v>1</v>
      </c>
      <c r="H1739" t="str">
        <f>"00000000"</f>
        <v>00000000</v>
      </c>
      <c r="I1739" t="s">
        <v>35</v>
      </c>
      <c r="J1739"/>
      <c r="K1739">
        <v>19.66</v>
      </c>
      <c r="L1739">
        <v>0.0</v>
      </c>
      <c r="M1739"/>
      <c r="N1739"/>
      <c r="O1739">
        <v>3.54</v>
      </c>
      <c r="P1739">
        <v>0.2</v>
      </c>
      <c r="Q1739">
        <v>23.4</v>
      </c>
      <c r="R1739"/>
      <c r="S1739"/>
      <c r="T1739"/>
      <c r="U1739"/>
      <c r="V1739"/>
      <c r="W1739">
        <v>18</v>
      </c>
    </row>
    <row r="1740" spans="1:23">
      <c r="A1740"/>
      <c r="B1740" t="s">
        <v>63</v>
      </c>
      <c r="C1740" t="s">
        <v>63</v>
      </c>
      <c r="D1740" t="s">
        <v>33</v>
      </c>
      <c r="E1740" t="s">
        <v>34</v>
      </c>
      <c r="F1740" t="str">
        <f>"0002052"</f>
        <v>0002052</v>
      </c>
      <c r="G1740">
        <v>1</v>
      </c>
      <c r="H1740" t="str">
        <f>"00000000"</f>
        <v>00000000</v>
      </c>
      <c r="I1740" t="s">
        <v>35</v>
      </c>
      <c r="J1740"/>
      <c r="K1740">
        <v>1.7</v>
      </c>
      <c r="L1740">
        <v>0.0</v>
      </c>
      <c r="M1740"/>
      <c r="N1740"/>
      <c r="O1740">
        <v>0.31</v>
      </c>
      <c r="P1740">
        <v>0.0</v>
      </c>
      <c r="Q1740">
        <v>2.01</v>
      </c>
      <c r="R1740"/>
      <c r="S1740"/>
      <c r="T1740"/>
      <c r="U1740"/>
      <c r="V1740"/>
      <c r="W1740">
        <v>18</v>
      </c>
    </row>
    <row r="1741" spans="1:23">
      <c r="A1741"/>
      <c r="B1741" t="s">
        <v>63</v>
      </c>
      <c r="C1741" t="s">
        <v>63</v>
      </c>
      <c r="D1741" t="s">
        <v>33</v>
      </c>
      <c r="E1741" t="s">
        <v>34</v>
      </c>
      <c r="F1741" t="str">
        <f>"0002053"</f>
        <v>0002053</v>
      </c>
      <c r="G1741">
        <v>1</v>
      </c>
      <c r="H1741" t="str">
        <f>"00000000"</f>
        <v>00000000</v>
      </c>
      <c r="I1741" t="s">
        <v>35</v>
      </c>
      <c r="J1741"/>
      <c r="K1741">
        <v>2.53</v>
      </c>
      <c r="L1741">
        <v>0.0</v>
      </c>
      <c r="M1741"/>
      <c r="N1741"/>
      <c r="O1741">
        <v>0.46</v>
      </c>
      <c r="P1741">
        <v>0.0</v>
      </c>
      <c r="Q1741">
        <v>2.99</v>
      </c>
      <c r="R1741"/>
      <c r="S1741"/>
      <c r="T1741"/>
      <c r="U1741"/>
      <c r="V1741"/>
      <c r="W1741">
        <v>18</v>
      </c>
    </row>
    <row r="1742" spans="1:23">
      <c r="A1742"/>
      <c r="B1742" t="s">
        <v>63</v>
      </c>
      <c r="C1742" t="s">
        <v>63</v>
      </c>
      <c r="D1742" t="s">
        <v>33</v>
      </c>
      <c r="E1742" t="s">
        <v>34</v>
      </c>
      <c r="F1742" t="str">
        <f>"0002054"</f>
        <v>0002054</v>
      </c>
      <c r="G1742">
        <v>1</v>
      </c>
      <c r="H1742" t="str">
        <f>"00000000"</f>
        <v>00000000</v>
      </c>
      <c r="I1742" t="s">
        <v>35</v>
      </c>
      <c r="J1742"/>
      <c r="K1742">
        <v>49.78</v>
      </c>
      <c r="L1742">
        <v>0.0</v>
      </c>
      <c r="M1742"/>
      <c r="N1742"/>
      <c r="O1742">
        <v>8.96</v>
      </c>
      <c r="P1742">
        <v>0.0</v>
      </c>
      <c r="Q1742">
        <v>58.74</v>
      </c>
      <c r="R1742"/>
      <c r="S1742"/>
      <c r="T1742"/>
      <c r="U1742"/>
      <c r="V1742"/>
      <c r="W1742">
        <v>18</v>
      </c>
    </row>
    <row r="1743" spans="1:23">
      <c r="A1743"/>
      <c r="B1743" t="s">
        <v>63</v>
      </c>
      <c r="C1743" t="s">
        <v>63</v>
      </c>
      <c r="D1743" t="s">
        <v>33</v>
      </c>
      <c r="E1743" t="s">
        <v>34</v>
      </c>
      <c r="F1743" t="str">
        <f>"0002055"</f>
        <v>0002055</v>
      </c>
      <c r="G1743">
        <v>1</v>
      </c>
      <c r="H1743" t="str">
        <f>"00000000"</f>
        <v>00000000</v>
      </c>
      <c r="I1743" t="s">
        <v>35</v>
      </c>
      <c r="J1743"/>
      <c r="K1743">
        <v>2.58</v>
      </c>
      <c r="L1743">
        <v>0.0</v>
      </c>
      <c r="M1743"/>
      <c r="N1743"/>
      <c r="O1743">
        <v>0.46</v>
      </c>
      <c r="P1743">
        <v>0.0</v>
      </c>
      <c r="Q1743">
        <v>3.04</v>
      </c>
      <c r="R1743"/>
      <c r="S1743"/>
      <c r="T1743"/>
      <c r="U1743"/>
      <c r="V1743"/>
      <c r="W1743">
        <v>18</v>
      </c>
    </row>
    <row r="1744" spans="1:23">
      <c r="A1744"/>
      <c r="B1744" t="s">
        <v>63</v>
      </c>
      <c r="C1744" t="s">
        <v>63</v>
      </c>
      <c r="D1744" t="s">
        <v>33</v>
      </c>
      <c r="E1744" t="s">
        <v>34</v>
      </c>
      <c r="F1744" t="str">
        <f>"0002056"</f>
        <v>0002056</v>
      </c>
      <c r="G1744">
        <v>1</v>
      </c>
      <c r="H1744" t="str">
        <f>"00000000"</f>
        <v>00000000</v>
      </c>
      <c r="I1744" t="s">
        <v>35</v>
      </c>
      <c r="J1744"/>
      <c r="K1744">
        <v>8.33</v>
      </c>
      <c r="L1744">
        <v>0.0</v>
      </c>
      <c r="M1744"/>
      <c r="N1744"/>
      <c r="O1744">
        <v>1.5</v>
      </c>
      <c r="P1744">
        <v>0.2</v>
      </c>
      <c r="Q1744">
        <v>10.03</v>
      </c>
      <c r="R1744"/>
      <c r="S1744"/>
      <c r="T1744"/>
      <c r="U1744"/>
      <c r="V1744"/>
      <c r="W1744">
        <v>18</v>
      </c>
    </row>
    <row r="1745" spans="1:23">
      <c r="A1745"/>
      <c r="B1745" t="s">
        <v>63</v>
      </c>
      <c r="C1745" t="s">
        <v>63</v>
      </c>
      <c r="D1745" t="s">
        <v>33</v>
      </c>
      <c r="E1745" t="s">
        <v>34</v>
      </c>
      <c r="F1745" t="str">
        <f>"0002057"</f>
        <v>0002057</v>
      </c>
      <c r="G1745">
        <v>1</v>
      </c>
      <c r="H1745" t="str">
        <f>"00000000"</f>
        <v>00000000</v>
      </c>
      <c r="I1745" t="s">
        <v>35</v>
      </c>
      <c r="J1745"/>
      <c r="K1745">
        <v>7.63</v>
      </c>
      <c r="L1745">
        <v>0.0</v>
      </c>
      <c r="M1745"/>
      <c r="N1745"/>
      <c r="O1745">
        <v>1.37</v>
      </c>
      <c r="P1745">
        <v>0.0</v>
      </c>
      <c r="Q1745">
        <v>9.0</v>
      </c>
      <c r="R1745"/>
      <c r="S1745"/>
      <c r="T1745"/>
      <c r="U1745"/>
      <c r="V1745"/>
      <c r="W1745">
        <v>18</v>
      </c>
    </row>
    <row r="1746" spans="1:23">
      <c r="A1746"/>
      <c r="B1746" t="s">
        <v>63</v>
      </c>
      <c r="C1746" t="s">
        <v>63</v>
      </c>
      <c r="D1746" t="s">
        <v>33</v>
      </c>
      <c r="E1746" t="s">
        <v>34</v>
      </c>
      <c r="F1746" t="str">
        <f>"0002058"</f>
        <v>0002058</v>
      </c>
      <c r="G1746">
        <v>1</v>
      </c>
      <c r="H1746" t="str">
        <f>"00000000"</f>
        <v>00000000</v>
      </c>
      <c r="I1746" t="s">
        <v>35</v>
      </c>
      <c r="J1746"/>
      <c r="K1746">
        <v>0.08</v>
      </c>
      <c r="L1746">
        <v>0.0</v>
      </c>
      <c r="M1746"/>
      <c r="N1746"/>
      <c r="O1746">
        <v>0.02</v>
      </c>
      <c r="P1746">
        <v>0.2</v>
      </c>
      <c r="Q1746">
        <v>0.3</v>
      </c>
      <c r="R1746"/>
      <c r="S1746"/>
      <c r="T1746"/>
      <c r="U1746"/>
      <c r="V1746"/>
      <c r="W1746">
        <v>18</v>
      </c>
    </row>
    <row r="1747" spans="1:23">
      <c r="A1747"/>
      <c r="B1747" t="s">
        <v>63</v>
      </c>
      <c r="C1747" t="s">
        <v>63</v>
      </c>
      <c r="D1747" t="s">
        <v>33</v>
      </c>
      <c r="E1747" t="s">
        <v>34</v>
      </c>
      <c r="F1747" t="str">
        <f>"0002059"</f>
        <v>0002059</v>
      </c>
      <c r="G1747">
        <v>1</v>
      </c>
      <c r="H1747" t="str">
        <f>"00000000"</f>
        <v>00000000</v>
      </c>
      <c r="I1747" t="s">
        <v>35</v>
      </c>
      <c r="J1747"/>
      <c r="K1747">
        <v>15.5</v>
      </c>
      <c r="L1747">
        <v>0.0</v>
      </c>
      <c r="M1747"/>
      <c r="N1747"/>
      <c r="O1747">
        <v>2.79</v>
      </c>
      <c r="P1747">
        <v>0.2</v>
      </c>
      <c r="Q1747">
        <v>18.49</v>
      </c>
      <c r="R1747"/>
      <c r="S1747"/>
      <c r="T1747"/>
      <c r="U1747"/>
      <c r="V1747"/>
      <c r="W1747">
        <v>18</v>
      </c>
    </row>
    <row r="1748" spans="1:23">
      <c r="A1748"/>
      <c r="B1748" t="s">
        <v>63</v>
      </c>
      <c r="C1748" t="s">
        <v>63</v>
      </c>
      <c r="D1748" t="s">
        <v>33</v>
      </c>
      <c r="E1748" t="s">
        <v>34</v>
      </c>
      <c r="F1748" t="str">
        <f>"0002060"</f>
        <v>0002060</v>
      </c>
      <c r="G1748">
        <v>1</v>
      </c>
      <c r="H1748" t="str">
        <f>"00000000"</f>
        <v>00000000</v>
      </c>
      <c r="I1748" t="s">
        <v>35</v>
      </c>
      <c r="J1748"/>
      <c r="K1748">
        <v>1.27</v>
      </c>
      <c r="L1748">
        <v>0.0</v>
      </c>
      <c r="M1748"/>
      <c r="N1748"/>
      <c r="O1748">
        <v>0.23</v>
      </c>
      <c r="P1748">
        <v>0.0</v>
      </c>
      <c r="Q1748">
        <v>1.5</v>
      </c>
      <c r="R1748"/>
      <c r="S1748"/>
      <c r="T1748"/>
      <c r="U1748"/>
      <c r="V1748"/>
      <c r="W1748">
        <v>18</v>
      </c>
    </row>
    <row r="1749" spans="1:23">
      <c r="A1749"/>
      <c r="B1749" t="s">
        <v>63</v>
      </c>
      <c r="C1749" t="s">
        <v>63</v>
      </c>
      <c r="D1749" t="s">
        <v>33</v>
      </c>
      <c r="E1749" t="s">
        <v>34</v>
      </c>
      <c r="F1749" t="str">
        <f>"0002061"</f>
        <v>0002061</v>
      </c>
      <c r="G1749">
        <v>1</v>
      </c>
      <c r="H1749" t="str">
        <f>"00000000"</f>
        <v>00000000</v>
      </c>
      <c r="I1749" t="s">
        <v>35</v>
      </c>
      <c r="J1749"/>
      <c r="K1749">
        <v>14.84</v>
      </c>
      <c r="L1749">
        <v>0.0</v>
      </c>
      <c r="M1749"/>
      <c r="N1749"/>
      <c r="O1749">
        <v>2.67</v>
      </c>
      <c r="P1749">
        <v>0.0</v>
      </c>
      <c r="Q1749">
        <v>17.51</v>
      </c>
      <c r="R1749"/>
      <c r="S1749"/>
      <c r="T1749"/>
      <c r="U1749"/>
      <c r="V1749"/>
      <c r="W1749">
        <v>18</v>
      </c>
    </row>
    <row r="1750" spans="1:23">
      <c r="A1750"/>
      <c r="B1750" t="s">
        <v>63</v>
      </c>
      <c r="C1750" t="s">
        <v>63</v>
      </c>
      <c r="D1750" t="s">
        <v>33</v>
      </c>
      <c r="E1750" t="s">
        <v>34</v>
      </c>
      <c r="F1750" t="str">
        <f>"0002062"</f>
        <v>0002062</v>
      </c>
      <c r="G1750">
        <v>1</v>
      </c>
      <c r="H1750" t="str">
        <f>"00000000"</f>
        <v>00000000</v>
      </c>
      <c r="I1750" t="s">
        <v>35</v>
      </c>
      <c r="J1750"/>
      <c r="K1750">
        <v>9.07</v>
      </c>
      <c r="L1750">
        <v>0.0</v>
      </c>
      <c r="M1750"/>
      <c r="N1750"/>
      <c r="O1750">
        <v>1.63</v>
      </c>
      <c r="P1750">
        <v>0.0</v>
      </c>
      <c r="Q1750">
        <v>10.7</v>
      </c>
      <c r="R1750"/>
      <c r="S1750"/>
      <c r="T1750"/>
      <c r="U1750"/>
      <c r="V1750"/>
      <c r="W1750">
        <v>18</v>
      </c>
    </row>
    <row r="1751" spans="1:23">
      <c r="A1751"/>
      <c r="B1751" t="s">
        <v>63</v>
      </c>
      <c r="C1751" t="s">
        <v>63</v>
      </c>
      <c r="D1751" t="s">
        <v>33</v>
      </c>
      <c r="E1751" t="s">
        <v>34</v>
      </c>
      <c r="F1751" t="str">
        <f>"0002063"</f>
        <v>0002063</v>
      </c>
      <c r="G1751">
        <v>1</v>
      </c>
      <c r="H1751" t="str">
        <f>"00000000"</f>
        <v>00000000</v>
      </c>
      <c r="I1751" t="s">
        <v>35</v>
      </c>
      <c r="J1751"/>
      <c r="K1751">
        <v>8.9</v>
      </c>
      <c r="L1751">
        <v>0.0</v>
      </c>
      <c r="M1751"/>
      <c r="N1751"/>
      <c r="O1751">
        <v>1.6</v>
      </c>
      <c r="P1751">
        <v>0.0</v>
      </c>
      <c r="Q1751">
        <v>10.5</v>
      </c>
      <c r="R1751"/>
      <c r="S1751"/>
      <c r="T1751"/>
      <c r="U1751"/>
      <c r="V1751"/>
      <c r="W1751">
        <v>18</v>
      </c>
    </row>
    <row r="1752" spans="1:23">
      <c r="A1752"/>
      <c r="B1752" t="s">
        <v>63</v>
      </c>
      <c r="C1752" t="s">
        <v>63</v>
      </c>
      <c r="D1752" t="s">
        <v>33</v>
      </c>
      <c r="E1752" t="s">
        <v>34</v>
      </c>
      <c r="F1752" t="str">
        <f>"0002064"</f>
        <v>0002064</v>
      </c>
      <c r="G1752">
        <v>1</v>
      </c>
      <c r="H1752" t="str">
        <f>"00000000"</f>
        <v>00000000</v>
      </c>
      <c r="I1752" t="s">
        <v>35</v>
      </c>
      <c r="J1752"/>
      <c r="K1752">
        <v>36.56</v>
      </c>
      <c r="L1752">
        <v>0.0</v>
      </c>
      <c r="M1752"/>
      <c r="N1752"/>
      <c r="O1752">
        <v>6.58</v>
      </c>
      <c r="P1752">
        <v>0.2</v>
      </c>
      <c r="Q1752">
        <v>43.34</v>
      </c>
      <c r="R1752"/>
      <c r="S1752"/>
      <c r="T1752"/>
      <c r="U1752"/>
      <c r="V1752"/>
      <c r="W1752">
        <v>18</v>
      </c>
    </row>
    <row r="1753" spans="1:23">
      <c r="A1753"/>
      <c r="B1753" t="s">
        <v>63</v>
      </c>
      <c r="C1753" t="s">
        <v>63</v>
      </c>
      <c r="D1753" t="s">
        <v>33</v>
      </c>
      <c r="E1753" t="s">
        <v>34</v>
      </c>
      <c r="F1753" t="str">
        <f>"0002065"</f>
        <v>0002065</v>
      </c>
      <c r="G1753">
        <v>1</v>
      </c>
      <c r="H1753" t="str">
        <f>"00000000"</f>
        <v>00000000</v>
      </c>
      <c r="I1753" t="s">
        <v>35</v>
      </c>
      <c r="J1753"/>
      <c r="K1753">
        <v>9.37</v>
      </c>
      <c r="L1753">
        <v>0.0</v>
      </c>
      <c r="M1753"/>
      <c r="N1753"/>
      <c r="O1753">
        <v>1.69</v>
      </c>
      <c r="P1753">
        <v>0.0</v>
      </c>
      <c r="Q1753">
        <v>11.05</v>
      </c>
      <c r="R1753"/>
      <c r="S1753"/>
      <c r="T1753"/>
      <c r="U1753"/>
      <c r="V1753"/>
      <c r="W1753">
        <v>18</v>
      </c>
    </row>
    <row r="1754" spans="1:23">
      <c r="A1754"/>
      <c r="B1754" t="s">
        <v>63</v>
      </c>
      <c r="C1754" t="s">
        <v>63</v>
      </c>
      <c r="D1754" t="s">
        <v>33</v>
      </c>
      <c r="E1754" t="s">
        <v>34</v>
      </c>
      <c r="F1754" t="str">
        <f>"0002066"</f>
        <v>0002066</v>
      </c>
      <c r="G1754">
        <v>1</v>
      </c>
      <c r="H1754" t="str">
        <f>"00000000"</f>
        <v>00000000</v>
      </c>
      <c r="I1754" t="s">
        <v>35</v>
      </c>
      <c r="J1754"/>
      <c r="K1754">
        <v>0.08</v>
      </c>
      <c r="L1754">
        <v>0.0</v>
      </c>
      <c r="M1754"/>
      <c r="N1754"/>
      <c r="O1754">
        <v>0.02</v>
      </c>
      <c r="P1754">
        <v>0.2</v>
      </c>
      <c r="Q1754">
        <v>0.3</v>
      </c>
      <c r="R1754"/>
      <c r="S1754"/>
      <c r="T1754"/>
      <c r="U1754"/>
      <c r="V1754"/>
      <c r="W1754">
        <v>18</v>
      </c>
    </row>
    <row r="1755" spans="1:23">
      <c r="A1755"/>
      <c r="B1755" t="s">
        <v>63</v>
      </c>
      <c r="C1755" t="s">
        <v>63</v>
      </c>
      <c r="D1755" t="s">
        <v>33</v>
      </c>
      <c r="E1755" t="s">
        <v>34</v>
      </c>
      <c r="F1755" t="str">
        <f>"0002067"</f>
        <v>0002067</v>
      </c>
      <c r="G1755">
        <v>1</v>
      </c>
      <c r="H1755" t="str">
        <f>"00000000"</f>
        <v>00000000</v>
      </c>
      <c r="I1755" t="s">
        <v>35</v>
      </c>
      <c r="J1755"/>
      <c r="K1755">
        <v>69.23</v>
      </c>
      <c r="L1755">
        <v>0.0</v>
      </c>
      <c r="M1755"/>
      <c r="N1755"/>
      <c r="O1755">
        <v>12.46</v>
      </c>
      <c r="P1755">
        <v>0.0</v>
      </c>
      <c r="Q1755">
        <v>81.7</v>
      </c>
      <c r="R1755"/>
      <c r="S1755"/>
      <c r="T1755"/>
      <c r="U1755"/>
      <c r="V1755"/>
      <c r="W1755">
        <v>18</v>
      </c>
    </row>
    <row r="1756" spans="1:23">
      <c r="A1756"/>
      <c r="B1756" t="s">
        <v>63</v>
      </c>
      <c r="C1756" t="s">
        <v>63</v>
      </c>
      <c r="D1756" t="s">
        <v>33</v>
      </c>
      <c r="E1756" t="s">
        <v>34</v>
      </c>
      <c r="F1756" t="str">
        <f>"0002068"</f>
        <v>0002068</v>
      </c>
      <c r="G1756">
        <v>1</v>
      </c>
      <c r="H1756" t="str">
        <f>"00000000"</f>
        <v>00000000</v>
      </c>
      <c r="I1756" t="s">
        <v>35</v>
      </c>
      <c r="J1756"/>
      <c r="K1756">
        <v>4.87</v>
      </c>
      <c r="L1756">
        <v>0.0</v>
      </c>
      <c r="M1756"/>
      <c r="N1756"/>
      <c r="O1756">
        <v>0.88</v>
      </c>
      <c r="P1756">
        <v>0.2</v>
      </c>
      <c r="Q1756">
        <v>5.95</v>
      </c>
      <c r="R1756"/>
      <c r="S1756"/>
      <c r="T1756"/>
      <c r="U1756"/>
      <c r="V1756"/>
      <c r="W1756">
        <v>18</v>
      </c>
    </row>
    <row r="1757" spans="1:23">
      <c r="A1757"/>
      <c r="B1757" t="s">
        <v>63</v>
      </c>
      <c r="C1757" t="s">
        <v>63</v>
      </c>
      <c r="D1757" t="s">
        <v>33</v>
      </c>
      <c r="E1757" t="s">
        <v>34</v>
      </c>
      <c r="F1757" t="str">
        <f>"0002069"</f>
        <v>0002069</v>
      </c>
      <c r="G1757">
        <v>1</v>
      </c>
      <c r="H1757" t="str">
        <f>"00000000"</f>
        <v>00000000</v>
      </c>
      <c r="I1757" t="s">
        <v>35</v>
      </c>
      <c r="J1757"/>
      <c r="K1757">
        <v>16.13</v>
      </c>
      <c r="L1757">
        <v>0.0</v>
      </c>
      <c r="M1757"/>
      <c r="N1757"/>
      <c r="O1757">
        <v>2.9</v>
      </c>
      <c r="P1757">
        <v>0.2</v>
      </c>
      <c r="Q1757">
        <v>19.23</v>
      </c>
      <c r="R1757"/>
      <c r="S1757"/>
      <c r="T1757"/>
      <c r="U1757"/>
      <c r="V1757"/>
      <c r="W1757">
        <v>18</v>
      </c>
    </row>
    <row r="1758" spans="1:23">
      <c r="A1758"/>
      <c r="B1758" t="s">
        <v>63</v>
      </c>
      <c r="C1758" t="s">
        <v>63</v>
      </c>
      <c r="D1758" t="s">
        <v>33</v>
      </c>
      <c r="E1758" t="s">
        <v>34</v>
      </c>
      <c r="F1758" t="str">
        <f>"0002070"</f>
        <v>0002070</v>
      </c>
      <c r="G1758">
        <v>1</v>
      </c>
      <c r="H1758" t="str">
        <f>"00000000"</f>
        <v>00000000</v>
      </c>
      <c r="I1758" t="s">
        <v>35</v>
      </c>
      <c r="J1758"/>
      <c r="K1758">
        <v>12.71</v>
      </c>
      <c r="L1758">
        <v>0.0</v>
      </c>
      <c r="M1758"/>
      <c r="N1758"/>
      <c r="O1758">
        <v>2.29</v>
      </c>
      <c r="P1758">
        <v>0.2</v>
      </c>
      <c r="Q1758">
        <v>15.2</v>
      </c>
      <c r="R1758"/>
      <c r="S1758"/>
      <c r="T1758"/>
      <c r="U1758"/>
      <c r="V1758"/>
      <c r="W1758">
        <v>18</v>
      </c>
    </row>
    <row r="1759" spans="1:23">
      <c r="A1759"/>
      <c r="B1759" t="s">
        <v>63</v>
      </c>
      <c r="C1759" t="s">
        <v>63</v>
      </c>
      <c r="D1759" t="s">
        <v>33</v>
      </c>
      <c r="E1759" t="s">
        <v>34</v>
      </c>
      <c r="F1759" t="str">
        <f>"0002071"</f>
        <v>0002071</v>
      </c>
      <c r="G1759">
        <v>1</v>
      </c>
      <c r="H1759" t="str">
        <f>"00000000"</f>
        <v>00000000</v>
      </c>
      <c r="I1759" t="s">
        <v>35</v>
      </c>
      <c r="J1759"/>
      <c r="K1759">
        <v>5.0</v>
      </c>
      <c r="L1759">
        <v>0.0</v>
      </c>
      <c r="M1759"/>
      <c r="N1759"/>
      <c r="O1759">
        <v>0.9</v>
      </c>
      <c r="P1759">
        <v>0.0</v>
      </c>
      <c r="Q1759">
        <v>5.9</v>
      </c>
      <c r="R1759"/>
      <c r="S1759"/>
      <c r="T1759"/>
      <c r="U1759"/>
      <c r="V1759"/>
      <c r="W1759">
        <v>18</v>
      </c>
    </row>
    <row r="1760" spans="1:23">
      <c r="A1760"/>
      <c r="B1760" t="s">
        <v>63</v>
      </c>
      <c r="C1760" t="s">
        <v>63</v>
      </c>
      <c r="D1760" t="s">
        <v>33</v>
      </c>
      <c r="E1760" t="s">
        <v>34</v>
      </c>
      <c r="F1760" t="str">
        <f>"0002072"</f>
        <v>0002072</v>
      </c>
      <c r="G1760">
        <v>1</v>
      </c>
      <c r="H1760" t="str">
        <f>"00000000"</f>
        <v>00000000</v>
      </c>
      <c r="I1760" t="s">
        <v>35</v>
      </c>
      <c r="J1760"/>
      <c r="K1760">
        <v>21.75</v>
      </c>
      <c r="L1760">
        <v>0.0</v>
      </c>
      <c r="M1760"/>
      <c r="N1760"/>
      <c r="O1760">
        <v>3.91</v>
      </c>
      <c r="P1760">
        <v>0.0</v>
      </c>
      <c r="Q1760">
        <v>25.66</v>
      </c>
      <c r="R1760"/>
      <c r="S1760"/>
      <c r="T1760"/>
      <c r="U1760"/>
      <c r="V1760"/>
      <c r="W1760">
        <v>18</v>
      </c>
    </row>
    <row r="1761" spans="1:23">
      <c r="A1761"/>
      <c r="B1761" t="s">
        <v>63</v>
      </c>
      <c r="C1761" t="s">
        <v>63</v>
      </c>
      <c r="D1761" t="s">
        <v>33</v>
      </c>
      <c r="E1761" t="s">
        <v>34</v>
      </c>
      <c r="F1761" t="str">
        <f>"0002073"</f>
        <v>0002073</v>
      </c>
      <c r="G1761">
        <v>1</v>
      </c>
      <c r="H1761" t="str">
        <f>"00000000"</f>
        <v>00000000</v>
      </c>
      <c r="I1761" t="s">
        <v>35</v>
      </c>
      <c r="J1761"/>
      <c r="K1761">
        <v>4.75</v>
      </c>
      <c r="L1761">
        <v>0.0</v>
      </c>
      <c r="M1761"/>
      <c r="N1761"/>
      <c r="O1761">
        <v>0.85</v>
      </c>
      <c r="P1761">
        <v>0.0</v>
      </c>
      <c r="Q1761">
        <v>5.6</v>
      </c>
      <c r="R1761"/>
      <c r="S1761"/>
      <c r="T1761"/>
      <c r="U1761"/>
      <c r="V1761"/>
      <c r="W1761">
        <v>18</v>
      </c>
    </row>
    <row r="1762" spans="1:23">
      <c r="A1762"/>
      <c r="B1762" t="s">
        <v>63</v>
      </c>
      <c r="C1762" t="s">
        <v>63</v>
      </c>
      <c r="D1762" t="s">
        <v>33</v>
      </c>
      <c r="E1762" t="s">
        <v>34</v>
      </c>
      <c r="F1762" t="str">
        <f>"0002074"</f>
        <v>0002074</v>
      </c>
      <c r="G1762">
        <v>1</v>
      </c>
      <c r="H1762" t="str">
        <f>"00000000"</f>
        <v>00000000</v>
      </c>
      <c r="I1762" t="s">
        <v>35</v>
      </c>
      <c r="J1762"/>
      <c r="K1762">
        <v>26.96</v>
      </c>
      <c r="L1762">
        <v>0.0</v>
      </c>
      <c r="M1762"/>
      <c r="N1762"/>
      <c r="O1762">
        <v>4.85</v>
      </c>
      <c r="P1762">
        <v>0.0</v>
      </c>
      <c r="Q1762">
        <v>31.81</v>
      </c>
      <c r="R1762"/>
      <c r="S1762"/>
      <c r="T1762"/>
      <c r="U1762"/>
      <c r="V1762"/>
      <c r="W1762">
        <v>18</v>
      </c>
    </row>
    <row r="1763" spans="1:23">
      <c r="A1763"/>
      <c r="B1763" t="s">
        <v>63</v>
      </c>
      <c r="C1763" t="s">
        <v>63</v>
      </c>
      <c r="D1763" t="s">
        <v>33</v>
      </c>
      <c r="E1763" t="s">
        <v>34</v>
      </c>
      <c r="F1763" t="str">
        <f>"0002075"</f>
        <v>0002075</v>
      </c>
      <c r="G1763">
        <v>1</v>
      </c>
      <c r="H1763" t="str">
        <f>"00000000"</f>
        <v>00000000</v>
      </c>
      <c r="I1763" t="s">
        <v>35</v>
      </c>
      <c r="J1763"/>
      <c r="K1763">
        <v>11.96</v>
      </c>
      <c r="L1763">
        <v>0.0</v>
      </c>
      <c r="M1763"/>
      <c r="N1763"/>
      <c r="O1763">
        <v>2.15</v>
      </c>
      <c r="P1763">
        <v>0.2</v>
      </c>
      <c r="Q1763">
        <v>14.31</v>
      </c>
      <c r="R1763"/>
      <c r="S1763"/>
      <c r="T1763"/>
      <c r="U1763"/>
      <c r="V1763"/>
      <c r="W1763">
        <v>18</v>
      </c>
    </row>
    <row r="1764" spans="1:23">
      <c r="A1764"/>
      <c r="B1764" t="s">
        <v>63</v>
      </c>
      <c r="C1764" t="s">
        <v>63</v>
      </c>
      <c r="D1764" t="s">
        <v>33</v>
      </c>
      <c r="E1764" t="s">
        <v>34</v>
      </c>
      <c r="F1764" t="str">
        <f>"0002076"</f>
        <v>0002076</v>
      </c>
      <c r="G1764">
        <v>1</v>
      </c>
      <c r="H1764" t="str">
        <f>"00000000"</f>
        <v>00000000</v>
      </c>
      <c r="I1764" t="s">
        <v>35</v>
      </c>
      <c r="J1764"/>
      <c r="K1764">
        <v>34.25</v>
      </c>
      <c r="L1764">
        <v>0.0</v>
      </c>
      <c r="M1764"/>
      <c r="N1764"/>
      <c r="O1764">
        <v>6.17</v>
      </c>
      <c r="P1764">
        <v>0.2</v>
      </c>
      <c r="Q1764">
        <v>40.62</v>
      </c>
      <c r="R1764"/>
      <c r="S1764"/>
      <c r="T1764"/>
      <c r="U1764"/>
      <c r="V1764"/>
      <c r="W1764">
        <v>18</v>
      </c>
    </row>
    <row r="1765" spans="1:23">
      <c r="A1765"/>
      <c r="B1765" t="s">
        <v>63</v>
      </c>
      <c r="C1765" t="s">
        <v>63</v>
      </c>
      <c r="D1765" t="s">
        <v>33</v>
      </c>
      <c r="E1765" t="s">
        <v>34</v>
      </c>
      <c r="F1765" t="str">
        <f>"0002077"</f>
        <v>0002077</v>
      </c>
      <c r="G1765">
        <v>1</v>
      </c>
      <c r="H1765" t="str">
        <f>"00000000"</f>
        <v>00000000</v>
      </c>
      <c r="I1765" t="s">
        <v>35</v>
      </c>
      <c r="J1765"/>
      <c r="K1765">
        <v>1.51</v>
      </c>
      <c r="L1765">
        <v>0.0</v>
      </c>
      <c r="M1765"/>
      <c r="N1765"/>
      <c r="O1765">
        <v>0.27</v>
      </c>
      <c r="P1765">
        <v>0.0</v>
      </c>
      <c r="Q1765">
        <v>1.78</v>
      </c>
      <c r="R1765"/>
      <c r="S1765"/>
      <c r="T1765"/>
      <c r="U1765"/>
      <c r="V1765"/>
      <c r="W1765">
        <v>18</v>
      </c>
    </row>
    <row r="1766" spans="1:23">
      <c r="A1766"/>
      <c r="B1766" t="s">
        <v>63</v>
      </c>
      <c r="C1766" t="s">
        <v>63</v>
      </c>
      <c r="D1766" t="s">
        <v>33</v>
      </c>
      <c r="E1766" t="s">
        <v>34</v>
      </c>
      <c r="F1766" t="str">
        <f>"0002078"</f>
        <v>0002078</v>
      </c>
      <c r="G1766">
        <v>1</v>
      </c>
      <c r="H1766" t="str">
        <f>"00000000"</f>
        <v>00000000</v>
      </c>
      <c r="I1766" t="s">
        <v>35</v>
      </c>
      <c r="J1766"/>
      <c r="K1766">
        <v>3.52</v>
      </c>
      <c r="L1766">
        <v>0.0</v>
      </c>
      <c r="M1766"/>
      <c r="N1766"/>
      <c r="O1766">
        <v>0.63</v>
      </c>
      <c r="P1766">
        <v>0.0</v>
      </c>
      <c r="Q1766">
        <v>4.15</v>
      </c>
      <c r="R1766"/>
      <c r="S1766"/>
      <c r="T1766"/>
      <c r="U1766"/>
      <c r="V1766"/>
      <c r="W1766">
        <v>18</v>
      </c>
    </row>
    <row r="1767" spans="1:23">
      <c r="A1767"/>
      <c r="B1767" t="s">
        <v>63</v>
      </c>
      <c r="C1767" t="s">
        <v>63</v>
      </c>
      <c r="D1767" t="s">
        <v>33</v>
      </c>
      <c r="E1767" t="s">
        <v>34</v>
      </c>
      <c r="F1767" t="str">
        <f>"0002079"</f>
        <v>0002079</v>
      </c>
      <c r="G1767">
        <v>1</v>
      </c>
      <c r="H1767" t="str">
        <f>"00000000"</f>
        <v>00000000</v>
      </c>
      <c r="I1767" t="s">
        <v>35</v>
      </c>
      <c r="J1767"/>
      <c r="K1767">
        <v>6.1</v>
      </c>
      <c r="L1767">
        <v>0.0</v>
      </c>
      <c r="M1767"/>
      <c r="N1767"/>
      <c r="O1767">
        <v>1.1</v>
      </c>
      <c r="P1767">
        <v>0.0</v>
      </c>
      <c r="Q1767">
        <v>7.2</v>
      </c>
      <c r="R1767"/>
      <c r="S1767"/>
      <c r="T1767"/>
      <c r="U1767"/>
      <c r="V1767"/>
      <c r="W1767">
        <v>18</v>
      </c>
    </row>
    <row r="1768" spans="1:23">
      <c r="A1768"/>
      <c r="B1768" t="s">
        <v>63</v>
      </c>
      <c r="C1768" t="s">
        <v>63</v>
      </c>
      <c r="D1768" t="s">
        <v>33</v>
      </c>
      <c r="E1768" t="s">
        <v>34</v>
      </c>
      <c r="F1768" t="str">
        <f>"0002080"</f>
        <v>0002080</v>
      </c>
      <c r="G1768">
        <v>1</v>
      </c>
      <c r="H1768" t="str">
        <f>"00000000"</f>
        <v>00000000</v>
      </c>
      <c r="I1768" t="s">
        <v>35</v>
      </c>
      <c r="J1768"/>
      <c r="K1768">
        <v>0.04</v>
      </c>
      <c r="L1768">
        <v>0.0</v>
      </c>
      <c r="M1768"/>
      <c r="N1768"/>
      <c r="O1768">
        <v>0.01</v>
      </c>
      <c r="P1768">
        <v>0.2</v>
      </c>
      <c r="Q1768">
        <v>0.25</v>
      </c>
      <c r="R1768"/>
      <c r="S1768"/>
      <c r="T1768"/>
      <c r="U1768"/>
      <c r="V1768"/>
      <c r="W1768">
        <v>18</v>
      </c>
    </row>
    <row r="1769" spans="1:23">
      <c r="A1769"/>
      <c r="B1769" t="s">
        <v>63</v>
      </c>
      <c r="C1769" t="s">
        <v>63</v>
      </c>
      <c r="D1769" t="s">
        <v>33</v>
      </c>
      <c r="E1769" t="s">
        <v>34</v>
      </c>
      <c r="F1769" t="str">
        <f>"0002081"</f>
        <v>0002081</v>
      </c>
      <c r="G1769">
        <v>1</v>
      </c>
      <c r="H1769" t="str">
        <f>"00000000"</f>
        <v>00000000</v>
      </c>
      <c r="I1769" t="s">
        <v>35</v>
      </c>
      <c r="J1769"/>
      <c r="K1769">
        <v>0.68</v>
      </c>
      <c r="L1769">
        <v>0.0</v>
      </c>
      <c r="M1769"/>
      <c r="N1769"/>
      <c r="O1769">
        <v>0.12</v>
      </c>
      <c r="P1769">
        <v>0.0</v>
      </c>
      <c r="Q1769">
        <v>0.8</v>
      </c>
      <c r="R1769"/>
      <c r="S1769"/>
      <c r="T1769"/>
      <c r="U1769"/>
      <c r="V1769"/>
      <c r="W1769">
        <v>18</v>
      </c>
    </row>
    <row r="1770" spans="1:23">
      <c r="A1770"/>
      <c r="B1770" t="s">
        <v>63</v>
      </c>
      <c r="C1770" t="s">
        <v>63</v>
      </c>
      <c r="D1770" t="s">
        <v>33</v>
      </c>
      <c r="E1770" t="s">
        <v>34</v>
      </c>
      <c r="F1770" t="str">
        <f>"0002082"</f>
        <v>0002082</v>
      </c>
      <c r="G1770">
        <v>1</v>
      </c>
      <c r="H1770" t="str">
        <f>"00000000"</f>
        <v>00000000</v>
      </c>
      <c r="I1770" t="s">
        <v>35</v>
      </c>
      <c r="J1770"/>
      <c r="K1770">
        <v>10.06</v>
      </c>
      <c r="L1770">
        <v>0.0</v>
      </c>
      <c r="M1770"/>
      <c r="N1770"/>
      <c r="O1770">
        <v>1.81</v>
      </c>
      <c r="P1770">
        <v>0.0</v>
      </c>
      <c r="Q1770">
        <v>11.87</v>
      </c>
      <c r="R1770"/>
      <c r="S1770"/>
      <c r="T1770"/>
      <c r="U1770"/>
      <c r="V1770"/>
      <c r="W1770">
        <v>18</v>
      </c>
    </row>
    <row r="1771" spans="1:23">
      <c r="A1771"/>
      <c r="B1771" t="s">
        <v>63</v>
      </c>
      <c r="C1771" t="s">
        <v>63</v>
      </c>
      <c r="D1771" t="s">
        <v>33</v>
      </c>
      <c r="E1771" t="s">
        <v>34</v>
      </c>
      <c r="F1771" t="str">
        <f>"0002083"</f>
        <v>0002083</v>
      </c>
      <c r="G1771">
        <v>1</v>
      </c>
      <c r="H1771" t="str">
        <f>"00000000"</f>
        <v>00000000</v>
      </c>
      <c r="I1771" t="s">
        <v>35</v>
      </c>
      <c r="J1771"/>
      <c r="K1771">
        <v>0.08</v>
      </c>
      <c r="L1771">
        <v>0.0</v>
      </c>
      <c r="M1771"/>
      <c r="N1771"/>
      <c r="O1771">
        <v>0.02</v>
      </c>
      <c r="P1771">
        <v>0.2</v>
      </c>
      <c r="Q1771">
        <v>0.3</v>
      </c>
      <c r="R1771"/>
      <c r="S1771"/>
      <c r="T1771"/>
      <c r="U1771"/>
      <c r="V1771"/>
      <c r="W1771">
        <v>18</v>
      </c>
    </row>
    <row r="1772" spans="1:23">
      <c r="A1772"/>
      <c r="B1772" t="s">
        <v>63</v>
      </c>
      <c r="C1772" t="s">
        <v>63</v>
      </c>
      <c r="D1772" t="s">
        <v>33</v>
      </c>
      <c r="E1772" t="s">
        <v>34</v>
      </c>
      <c r="F1772" t="str">
        <f>"0002084"</f>
        <v>0002084</v>
      </c>
      <c r="G1772">
        <v>1</v>
      </c>
      <c r="H1772" t="str">
        <f>"00000000"</f>
        <v>00000000</v>
      </c>
      <c r="I1772" t="s">
        <v>35</v>
      </c>
      <c r="J1772"/>
      <c r="K1772">
        <v>9.75</v>
      </c>
      <c r="L1772">
        <v>0.0</v>
      </c>
      <c r="M1772"/>
      <c r="N1772"/>
      <c r="O1772">
        <v>1.75</v>
      </c>
      <c r="P1772">
        <v>0.0</v>
      </c>
      <c r="Q1772">
        <v>11.5</v>
      </c>
      <c r="R1772"/>
      <c r="S1772"/>
      <c r="T1772"/>
      <c r="U1772"/>
      <c r="V1772"/>
      <c r="W1772">
        <v>18</v>
      </c>
    </row>
    <row r="1773" spans="1:23">
      <c r="A1773"/>
      <c r="B1773" t="s">
        <v>63</v>
      </c>
      <c r="C1773" t="s">
        <v>63</v>
      </c>
      <c r="D1773" t="s">
        <v>33</v>
      </c>
      <c r="E1773" t="s">
        <v>34</v>
      </c>
      <c r="F1773" t="str">
        <f>"0002085"</f>
        <v>0002085</v>
      </c>
      <c r="G1773">
        <v>1</v>
      </c>
      <c r="H1773" t="str">
        <f>"00000000"</f>
        <v>00000000</v>
      </c>
      <c r="I1773" t="s">
        <v>35</v>
      </c>
      <c r="J1773"/>
      <c r="K1773">
        <v>74.54</v>
      </c>
      <c r="L1773">
        <v>0.0</v>
      </c>
      <c r="M1773"/>
      <c r="N1773"/>
      <c r="O1773">
        <v>13.42</v>
      </c>
      <c r="P1773">
        <v>0.6</v>
      </c>
      <c r="Q1773">
        <v>88.56</v>
      </c>
      <c r="R1773"/>
      <c r="S1773"/>
      <c r="T1773"/>
      <c r="U1773"/>
      <c r="V1773"/>
      <c r="W1773">
        <v>18</v>
      </c>
    </row>
    <row r="1774" spans="1:23">
      <c r="A1774"/>
      <c r="B1774" t="s">
        <v>63</v>
      </c>
      <c r="C1774" t="s">
        <v>63</v>
      </c>
      <c r="D1774" t="s">
        <v>33</v>
      </c>
      <c r="E1774" t="s">
        <v>34</v>
      </c>
      <c r="F1774" t="str">
        <f>"0002086"</f>
        <v>0002086</v>
      </c>
      <c r="G1774">
        <v>1</v>
      </c>
      <c r="H1774" t="str">
        <f>"00000000"</f>
        <v>00000000</v>
      </c>
      <c r="I1774" t="s">
        <v>35</v>
      </c>
      <c r="J1774"/>
      <c r="K1774">
        <v>7.58</v>
      </c>
      <c r="L1774">
        <v>0.0</v>
      </c>
      <c r="M1774"/>
      <c r="N1774"/>
      <c r="O1774">
        <v>1.37</v>
      </c>
      <c r="P1774">
        <v>0.2</v>
      </c>
      <c r="Q1774">
        <v>9.15</v>
      </c>
      <c r="R1774"/>
      <c r="S1774"/>
      <c r="T1774"/>
      <c r="U1774"/>
      <c r="V1774"/>
      <c r="W1774">
        <v>18</v>
      </c>
    </row>
    <row r="1775" spans="1:23">
      <c r="A1775"/>
      <c r="B1775" t="s">
        <v>63</v>
      </c>
      <c r="C1775" t="s">
        <v>63</v>
      </c>
      <c r="D1775" t="s">
        <v>33</v>
      </c>
      <c r="E1775" t="s">
        <v>34</v>
      </c>
      <c r="F1775" t="str">
        <f>"0002087"</f>
        <v>0002087</v>
      </c>
      <c r="G1775">
        <v>1</v>
      </c>
      <c r="H1775" t="str">
        <f>"00000000"</f>
        <v>00000000</v>
      </c>
      <c r="I1775" t="s">
        <v>35</v>
      </c>
      <c r="J1775"/>
      <c r="K1775">
        <v>21.22</v>
      </c>
      <c r="L1775">
        <v>0.0</v>
      </c>
      <c r="M1775"/>
      <c r="N1775"/>
      <c r="O1775">
        <v>3.82</v>
      </c>
      <c r="P1775">
        <v>0.2</v>
      </c>
      <c r="Q1775">
        <v>25.24</v>
      </c>
      <c r="R1775"/>
      <c r="S1775"/>
      <c r="T1775"/>
      <c r="U1775"/>
      <c r="V1775"/>
      <c r="W1775">
        <v>18</v>
      </c>
    </row>
    <row r="1776" spans="1:23">
      <c r="A1776"/>
      <c r="B1776" t="s">
        <v>63</v>
      </c>
      <c r="C1776" t="s">
        <v>63</v>
      </c>
      <c r="D1776" t="s">
        <v>33</v>
      </c>
      <c r="E1776" t="s">
        <v>34</v>
      </c>
      <c r="F1776" t="str">
        <f>"0002088"</f>
        <v>0002088</v>
      </c>
      <c r="G1776">
        <v>1</v>
      </c>
      <c r="H1776" t="str">
        <f>"00000000"</f>
        <v>00000000</v>
      </c>
      <c r="I1776" t="s">
        <v>35</v>
      </c>
      <c r="J1776"/>
      <c r="K1776">
        <v>2.12</v>
      </c>
      <c r="L1776">
        <v>0.0</v>
      </c>
      <c r="M1776"/>
      <c r="N1776"/>
      <c r="O1776">
        <v>0.38</v>
      </c>
      <c r="P1776">
        <v>0.0</v>
      </c>
      <c r="Q1776">
        <v>2.5</v>
      </c>
      <c r="R1776"/>
      <c r="S1776"/>
      <c r="T1776"/>
      <c r="U1776"/>
      <c r="V1776"/>
      <c r="W1776">
        <v>18</v>
      </c>
    </row>
    <row r="1777" spans="1:23">
      <c r="A1777"/>
      <c r="B1777" t="s">
        <v>63</v>
      </c>
      <c r="C1777" t="s">
        <v>63</v>
      </c>
      <c r="D1777" t="s">
        <v>33</v>
      </c>
      <c r="E1777" t="s">
        <v>34</v>
      </c>
      <c r="F1777" t="str">
        <f>"0002089"</f>
        <v>0002089</v>
      </c>
      <c r="G1777">
        <v>1</v>
      </c>
      <c r="H1777" t="str">
        <f>"00000000"</f>
        <v>00000000</v>
      </c>
      <c r="I1777" t="s">
        <v>35</v>
      </c>
      <c r="J1777"/>
      <c r="K1777">
        <v>35.14</v>
      </c>
      <c r="L1777">
        <v>0.0</v>
      </c>
      <c r="M1777"/>
      <c r="N1777"/>
      <c r="O1777">
        <v>6.33</v>
      </c>
      <c r="P1777">
        <v>0.0</v>
      </c>
      <c r="Q1777">
        <v>41.47</v>
      </c>
      <c r="R1777"/>
      <c r="S1777"/>
      <c r="T1777"/>
      <c r="U1777"/>
      <c r="V1777"/>
      <c r="W1777">
        <v>18</v>
      </c>
    </row>
    <row r="1778" spans="1:23">
      <c r="A1778"/>
      <c r="B1778" t="s">
        <v>63</v>
      </c>
      <c r="C1778" t="s">
        <v>63</v>
      </c>
      <c r="D1778" t="s">
        <v>33</v>
      </c>
      <c r="E1778" t="s">
        <v>34</v>
      </c>
      <c r="F1778" t="str">
        <f>"0002090"</f>
        <v>0002090</v>
      </c>
      <c r="G1778">
        <v>1</v>
      </c>
      <c r="H1778" t="str">
        <f>"00000000"</f>
        <v>00000000</v>
      </c>
      <c r="I1778" t="s">
        <v>35</v>
      </c>
      <c r="J1778"/>
      <c r="K1778">
        <v>2.54</v>
      </c>
      <c r="L1778">
        <v>0.0</v>
      </c>
      <c r="M1778"/>
      <c r="N1778"/>
      <c r="O1778">
        <v>0.46</v>
      </c>
      <c r="P1778">
        <v>0.0</v>
      </c>
      <c r="Q1778">
        <v>3.0</v>
      </c>
      <c r="R1778"/>
      <c r="S1778"/>
      <c r="T1778"/>
      <c r="U1778"/>
      <c r="V1778"/>
      <c r="W1778">
        <v>18</v>
      </c>
    </row>
    <row r="1779" spans="1:23">
      <c r="A1779"/>
      <c r="B1779" t="s">
        <v>63</v>
      </c>
      <c r="C1779" t="s">
        <v>63</v>
      </c>
      <c r="D1779" t="s">
        <v>33</v>
      </c>
      <c r="E1779" t="s">
        <v>34</v>
      </c>
      <c r="F1779" t="str">
        <f>"0002091"</f>
        <v>0002091</v>
      </c>
      <c r="G1779">
        <v>1</v>
      </c>
      <c r="H1779" t="str">
        <f>"00000000"</f>
        <v>00000000</v>
      </c>
      <c r="I1779" t="s">
        <v>35</v>
      </c>
      <c r="J1779"/>
      <c r="K1779">
        <v>24.07</v>
      </c>
      <c r="L1779">
        <v>0.0</v>
      </c>
      <c r="M1779"/>
      <c r="N1779"/>
      <c r="O1779">
        <v>4.33</v>
      </c>
      <c r="P1779">
        <v>0.2</v>
      </c>
      <c r="Q1779">
        <v>28.6</v>
      </c>
      <c r="R1779"/>
      <c r="S1779"/>
      <c r="T1779"/>
      <c r="U1779"/>
      <c r="V1779"/>
      <c r="W1779">
        <v>18</v>
      </c>
    </row>
    <row r="1780" spans="1:23">
      <c r="A1780"/>
      <c r="B1780" t="s">
        <v>63</v>
      </c>
      <c r="C1780" t="s">
        <v>63</v>
      </c>
      <c r="D1780" t="s">
        <v>33</v>
      </c>
      <c r="E1780" t="s">
        <v>34</v>
      </c>
      <c r="F1780" t="str">
        <f>"0002092"</f>
        <v>0002092</v>
      </c>
      <c r="G1780">
        <v>1</v>
      </c>
      <c r="H1780" t="str">
        <f>"00000000"</f>
        <v>00000000</v>
      </c>
      <c r="I1780" t="s">
        <v>35</v>
      </c>
      <c r="J1780"/>
      <c r="K1780">
        <v>13.45</v>
      </c>
      <c r="L1780">
        <v>0.0</v>
      </c>
      <c r="M1780"/>
      <c r="N1780"/>
      <c r="O1780">
        <v>2.42</v>
      </c>
      <c r="P1780">
        <v>0.2</v>
      </c>
      <c r="Q1780">
        <v>16.07</v>
      </c>
      <c r="R1780"/>
      <c r="S1780"/>
      <c r="T1780"/>
      <c r="U1780"/>
      <c r="V1780"/>
      <c r="W1780">
        <v>18</v>
      </c>
    </row>
    <row r="1781" spans="1:23">
      <c r="A1781"/>
      <c r="B1781" t="s">
        <v>63</v>
      </c>
      <c r="C1781" t="s">
        <v>63</v>
      </c>
      <c r="D1781" t="s">
        <v>33</v>
      </c>
      <c r="E1781" t="s">
        <v>34</v>
      </c>
      <c r="F1781" t="str">
        <f>"0002093"</f>
        <v>0002093</v>
      </c>
      <c r="G1781">
        <v>1</v>
      </c>
      <c r="H1781" t="str">
        <f>"00000000"</f>
        <v>00000000</v>
      </c>
      <c r="I1781" t="s">
        <v>35</v>
      </c>
      <c r="J1781"/>
      <c r="K1781">
        <v>30.59</v>
      </c>
      <c r="L1781">
        <v>0.0</v>
      </c>
      <c r="M1781"/>
      <c r="N1781"/>
      <c r="O1781">
        <v>5.51</v>
      </c>
      <c r="P1781">
        <v>0.2</v>
      </c>
      <c r="Q1781">
        <v>36.3</v>
      </c>
      <c r="R1781"/>
      <c r="S1781"/>
      <c r="T1781"/>
      <c r="U1781"/>
      <c r="V1781"/>
      <c r="W1781">
        <v>18</v>
      </c>
    </row>
    <row r="1782" spans="1:23">
      <c r="A1782"/>
      <c r="B1782" t="s">
        <v>63</v>
      </c>
      <c r="C1782" t="s">
        <v>63</v>
      </c>
      <c r="D1782" t="s">
        <v>33</v>
      </c>
      <c r="E1782" t="s">
        <v>34</v>
      </c>
      <c r="F1782" t="str">
        <f>"0002094"</f>
        <v>0002094</v>
      </c>
      <c r="G1782">
        <v>1</v>
      </c>
      <c r="H1782" t="str">
        <f>"00000000"</f>
        <v>00000000</v>
      </c>
      <c r="I1782" t="s">
        <v>35</v>
      </c>
      <c r="J1782"/>
      <c r="K1782">
        <v>10.0</v>
      </c>
      <c r="L1782">
        <v>0.0</v>
      </c>
      <c r="M1782"/>
      <c r="N1782"/>
      <c r="O1782">
        <v>1.8</v>
      </c>
      <c r="P1782">
        <v>0.0</v>
      </c>
      <c r="Q1782">
        <v>11.8</v>
      </c>
      <c r="R1782"/>
      <c r="S1782"/>
      <c r="T1782"/>
      <c r="U1782"/>
      <c r="V1782"/>
      <c r="W1782">
        <v>18</v>
      </c>
    </row>
    <row r="1783" spans="1:23">
      <c r="A1783"/>
      <c r="B1783" t="s">
        <v>63</v>
      </c>
      <c r="C1783" t="s">
        <v>63</v>
      </c>
      <c r="D1783" t="s">
        <v>33</v>
      </c>
      <c r="E1783" t="s">
        <v>34</v>
      </c>
      <c r="F1783" t="str">
        <f>"0002095"</f>
        <v>0002095</v>
      </c>
      <c r="G1783">
        <v>1</v>
      </c>
      <c r="H1783" t="str">
        <f>"00000000"</f>
        <v>00000000</v>
      </c>
      <c r="I1783" t="s">
        <v>35</v>
      </c>
      <c r="J1783"/>
      <c r="K1783">
        <v>1.86</v>
      </c>
      <c r="L1783">
        <v>0.0</v>
      </c>
      <c r="M1783"/>
      <c r="N1783"/>
      <c r="O1783">
        <v>0.34</v>
      </c>
      <c r="P1783">
        <v>0.0</v>
      </c>
      <c r="Q1783">
        <v>2.2</v>
      </c>
      <c r="R1783"/>
      <c r="S1783"/>
      <c r="T1783"/>
      <c r="U1783"/>
      <c r="V1783"/>
      <c r="W1783">
        <v>18</v>
      </c>
    </row>
    <row r="1784" spans="1:23">
      <c r="A1784"/>
      <c r="B1784" t="s">
        <v>63</v>
      </c>
      <c r="C1784" t="s">
        <v>63</v>
      </c>
      <c r="D1784" t="s">
        <v>33</v>
      </c>
      <c r="E1784" t="s">
        <v>34</v>
      </c>
      <c r="F1784" t="str">
        <f>"0002096"</f>
        <v>0002096</v>
      </c>
      <c r="G1784">
        <v>1</v>
      </c>
      <c r="H1784" t="str">
        <f>"00000000"</f>
        <v>00000000</v>
      </c>
      <c r="I1784" t="s">
        <v>35</v>
      </c>
      <c r="J1784"/>
      <c r="K1784">
        <v>1.02</v>
      </c>
      <c r="L1784">
        <v>0.0</v>
      </c>
      <c r="M1784"/>
      <c r="N1784"/>
      <c r="O1784">
        <v>0.18</v>
      </c>
      <c r="P1784">
        <v>0.0</v>
      </c>
      <c r="Q1784">
        <v>1.2</v>
      </c>
      <c r="R1784"/>
      <c r="S1784"/>
      <c r="T1784"/>
      <c r="U1784"/>
      <c r="V1784"/>
      <c r="W1784">
        <v>18</v>
      </c>
    </row>
    <row r="1785" spans="1:23">
      <c r="A1785"/>
      <c r="B1785" t="s">
        <v>63</v>
      </c>
      <c r="C1785" t="s">
        <v>63</v>
      </c>
      <c r="D1785" t="s">
        <v>33</v>
      </c>
      <c r="E1785" t="s">
        <v>34</v>
      </c>
      <c r="F1785" t="str">
        <f>"0002097"</f>
        <v>0002097</v>
      </c>
      <c r="G1785">
        <v>1</v>
      </c>
      <c r="H1785" t="str">
        <f>"00000000"</f>
        <v>00000000</v>
      </c>
      <c r="I1785" t="s">
        <v>35</v>
      </c>
      <c r="J1785"/>
      <c r="K1785">
        <v>18.88</v>
      </c>
      <c r="L1785">
        <v>0.0</v>
      </c>
      <c r="M1785"/>
      <c r="N1785"/>
      <c r="O1785">
        <v>3.4</v>
      </c>
      <c r="P1785">
        <v>0.0</v>
      </c>
      <c r="Q1785">
        <v>22.28</v>
      </c>
      <c r="R1785"/>
      <c r="S1785"/>
      <c r="T1785"/>
      <c r="U1785"/>
      <c r="V1785"/>
      <c r="W1785">
        <v>18</v>
      </c>
    </row>
    <row r="1786" spans="1:23">
      <c r="A1786"/>
      <c r="B1786" t="s">
        <v>63</v>
      </c>
      <c r="C1786" t="s">
        <v>63</v>
      </c>
      <c r="D1786" t="s">
        <v>33</v>
      </c>
      <c r="E1786" t="s">
        <v>34</v>
      </c>
      <c r="F1786" t="str">
        <f>"0002098"</f>
        <v>0002098</v>
      </c>
      <c r="G1786">
        <v>1</v>
      </c>
      <c r="H1786" t="str">
        <f>"00000000"</f>
        <v>00000000</v>
      </c>
      <c r="I1786" t="s">
        <v>35</v>
      </c>
      <c r="J1786"/>
      <c r="K1786">
        <v>6.95</v>
      </c>
      <c r="L1786">
        <v>0.0</v>
      </c>
      <c r="M1786"/>
      <c r="N1786"/>
      <c r="O1786">
        <v>1.25</v>
      </c>
      <c r="P1786">
        <v>0.0</v>
      </c>
      <c r="Q1786">
        <v>8.2</v>
      </c>
      <c r="R1786"/>
      <c r="S1786"/>
      <c r="T1786"/>
      <c r="U1786"/>
      <c r="V1786"/>
      <c r="W1786">
        <v>18</v>
      </c>
    </row>
    <row r="1787" spans="1:23">
      <c r="A1787"/>
      <c r="B1787" t="s">
        <v>63</v>
      </c>
      <c r="C1787" t="s">
        <v>63</v>
      </c>
      <c r="D1787" t="s">
        <v>33</v>
      </c>
      <c r="E1787" t="s">
        <v>34</v>
      </c>
      <c r="F1787" t="str">
        <f>"0002099"</f>
        <v>0002099</v>
      </c>
      <c r="G1787">
        <v>1</v>
      </c>
      <c r="H1787" t="str">
        <f>"00000000"</f>
        <v>00000000</v>
      </c>
      <c r="I1787" t="s">
        <v>35</v>
      </c>
      <c r="J1787"/>
      <c r="K1787">
        <v>9.92</v>
      </c>
      <c r="L1787">
        <v>0.0</v>
      </c>
      <c r="M1787"/>
      <c r="N1787"/>
      <c r="O1787">
        <v>1.78</v>
      </c>
      <c r="P1787">
        <v>0.0</v>
      </c>
      <c r="Q1787">
        <v>11.7</v>
      </c>
      <c r="R1787"/>
      <c r="S1787"/>
      <c r="T1787"/>
      <c r="U1787"/>
      <c r="V1787"/>
      <c r="W1787">
        <v>18</v>
      </c>
    </row>
    <row r="1788" spans="1:23">
      <c r="A1788"/>
      <c r="B1788" t="s">
        <v>63</v>
      </c>
      <c r="C1788" t="s">
        <v>63</v>
      </c>
      <c r="D1788" t="s">
        <v>33</v>
      </c>
      <c r="E1788" t="s">
        <v>34</v>
      </c>
      <c r="F1788" t="str">
        <f>"0002100"</f>
        <v>0002100</v>
      </c>
      <c r="G1788">
        <v>1</v>
      </c>
      <c r="H1788" t="str">
        <f>"00000000"</f>
        <v>00000000</v>
      </c>
      <c r="I1788" t="s">
        <v>35</v>
      </c>
      <c r="J1788"/>
      <c r="K1788">
        <v>8.53</v>
      </c>
      <c r="L1788">
        <v>0.0</v>
      </c>
      <c r="M1788"/>
      <c r="N1788"/>
      <c r="O1788">
        <v>1.53</v>
      </c>
      <c r="P1788">
        <v>0.0</v>
      </c>
      <c r="Q1788">
        <v>10.06</v>
      </c>
      <c r="R1788"/>
      <c r="S1788"/>
      <c r="T1788"/>
      <c r="U1788"/>
      <c r="V1788"/>
      <c r="W1788">
        <v>18</v>
      </c>
    </row>
    <row r="1789" spans="1:23">
      <c r="A1789"/>
      <c r="B1789" t="s">
        <v>63</v>
      </c>
      <c r="C1789" t="s">
        <v>63</v>
      </c>
      <c r="D1789" t="s">
        <v>33</v>
      </c>
      <c r="E1789" t="s">
        <v>34</v>
      </c>
      <c r="F1789" t="str">
        <f>"0002101"</f>
        <v>0002101</v>
      </c>
      <c r="G1789">
        <v>1</v>
      </c>
      <c r="H1789" t="str">
        <f>"00000000"</f>
        <v>00000000</v>
      </c>
      <c r="I1789" t="s">
        <v>35</v>
      </c>
      <c r="J1789"/>
      <c r="K1789">
        <v>31.46</v>
      </c>
      <c r="L1789">
        <v>0.0</v>
      </c>
      <c r="M1789"/>
      <c r="N1789"/>
      <c r="O1789">
        <v>5.66</v>
      </c>
      <c r="P1789">
        <v>0.2</v>
      </c>
      <c r="Q1789">
        <v>37.33</v>
      </c>
      <c r="R1789"/>
      <c r="S1789"/>
      <c r="T1789"/>
      <c r="U1789"/>
      <c r="V1789"/>
      <c r="W1789">
        <v>18</v>
      </c>
    </row>
    <row r="1790" spans="1:23">
      <c r="A1790"/>
      <c r="B1790" t="s">
        <v>63</v>
      </c>
      <c r="C1790" t="s">
        <v>63</v>
      </c>
      <c r="D1790" t="s">
        <v>33</v>
      </c>
      <c r="E1790" t="s">
        <v>34</v>
      </c>
      <c r="F1790" t="str">
        <f>"0002102"</f>
        <v>0002102</v>
      </c>
      <c r="G1790">
        <v>1</v>
      </c>
      <c r="H1790" t="str">
        <f>"00000000"</f>
        <v>00000000</v>
      </c>
      <c r="I1790" t="s">
        <v>35</v>
      </c>
      <c r="J1790"/>
      <c r="K1790">
        <v>6.27</v>
      </c>
      <c r="L1790">
        <v>0.0</v>
      </c>
      <c r="M1790"/>
      <c r="N1790"/>
      <c r="O1790">
        <v>1.13</v>
      </c>
      <c r="P1790">
        <v>0.0</v>
      </c>
      <c r="Q1790">
        <v>7.4</v>
      </c>
      <c r="R1790"/>
      <c r="S1790"/>
      <c r="T1790"/>
      <c r="U1790"/>
      <c r="V1790"/>
      <c r="W1790">
        <v>18</v>
      </c>
    </row>
    <row r="1791" spans="1:23">
      <c r="A1791"/>
      <c r="B1791" t="s">
        <v>63</v>
      </c>
      <c r="C1791" t="s">
        <v>63</v>
      </c>
      <c r="D1791" t="s">
        <v>33</v>
      </c>
      <c r="E1791" t="s">
        <v>34</v>
      </c>
      <c r="F1791" t="str">
        <f>"0002103"</f>
        <v>0002103</v>
      </c>
      <c r="G1791">
        <v>1</v>
      </c>
      <c r="H1791" t="str">
        <f>"00000000"</f>
        <v>00000000</v>
      </c>
      <c r="I1791" t="s">
        <v>35</v>
      </c>
      <c r="J1791"/>
      <c r="K1791">
        <v>4.66</v>
      </c>
      <c r="L1791">
        <v>0.0</v>
      </c>
      <c r="M1791"/>
      <c r="N1791"/>
      <c r="O1791">
        <v>0.84</v>
      </c>
      <c r="P1791">
        <v>0.0</v>
      </c>
      <c r="Q1791">
        <v>5.5</v>
      </c>
      <c r="R1791"/>
      <c r="S1791"/>
      <c r="T1791"/>
      <c r="U1791"/>
      <c r="V1791"/>
      <c r="W1791">
        <v>18</v>
      </c>
    </row>
    <row r="1792" spans="1:23">
      <c r="A1792"/>
      <c r="B1792" t="s">
        <v>63</v>
      </c>
      <c r="C1792" t="s">
        <v>63</v>
      </c>
      <c r="D1792" t="s">
        <v>33</v>
      </c>
      <c r="E1792" t="s">
        <v>34</v>
      </c>
      <c r="F1792" t="str">
        <f>"0002104"</f>
        <v>0002104</v>
      </c>
      <c r="G1792">
        <v>1</v>
      </c>
      <c r="H1792" t="str">
        <f>"00000000"</f>
        <v>00000000</v>
      </c>
      <c r="I1792" t="s">
        <v>35</v>
      </c>
      <c r="J1792"/>
      <c r="K1792">
        <v>5.12</v>
      </c>
      <c r="L1792">
        <v>0.0</v>
      </c>
      <c r="M1792"/>
      <c r="N1792"/>
      <c r="O1792">
        <v>0.92</v>
      </c>
      <c r="P1792">
        <v>0.0</v>
      </c>
      <c r="Q1792">
        <v>6.04</v>
      </c>
      <c r="R1792"/>
      <c r="S1792"/>
      <c r="T1792"/>
      <c r="U1792"/>
      <c r="V1792"/>
      <c r="W1792">
        <v>18</v>
      </c>
    </row>
    <row r="1793" spans="1:23">
      <c r="A1793"/>
      <c r="B1793" t="s">
        <v>63</v>
      </c>
      <c r="C1793" t="s">
        <v>63</v>
      </c>
      <c r="D1793" t="s">
        <v>33</v>
      </c>
      <c r="E1793" t="s">
        <v>34</v>
      </c>
      <c r="F1793" t="str">
        <f>"0002105"</f>
        <v>0002105</v>
      </c>
      <c r="G1793">
        <v>1</v>
      </c>
      <c r="H1793" t="str">
        <f>"00000000"</f>
        <v>00000000</v>
      </c>
      <c r="I1793" t="s">
        <v>35</v>
      </c>
      <c r="J1793"/>
      <c r="K1793">
        <v>14.49</v>
      </c>
      <c r="L1793">
        <v>0.0</v>
      </c>
      <c r="M1793"/>
      <c r="N1793"/>
      <c r="O1793">
        <v>2.61</v>
      </c>
      <c r="P1793">
        <v>0.2</v>
      </c>
      <c r="Q1793">
        <v>17.3</v>
      </c>
      <c r="R1793"/>
      <c r="S1793"/>
      <c r="T1793"/>
      <c r="U1793"/>
      <c r="V1793"/>
      <c r="W1793">
        <v>18</v>
      </c>
    </row>
    <row r="1794" spans="1:23">
      <c r="A1794"/>
      <c r="B1794" t="s">
        <v>63</v>
      </c>
      <c r="C1794" t="s">
        <v>63</v>
      </c>
      <c r="D1794" t="s">
        <v>33</v>
      </c>
      <c r="E1794" t="s">
        <v>34</v>
      </c>
      <c r="F1794" t="str">
        <f>"0002106"</f>
        <v>0002106</v>
      </c>
      <c r="G1794">
        <v>1</v>
      </c>
      <c r="H1794" t="str">
        <f>"00000000"</f>
        <v>00000000</v>
      </c>
      <c r="I1794" t="s">
        <v>35</v>
      </c>
      <c r="J1794"/>
      <c r="K1794">
        <v>3.81</v>
      </c>
      <c r="L1794">
        <v>0.0</v>
      </c>
      <c r="M1794"/>
      <c r="N1794"/>
      <c r="O1794">
        <v>0.69</v>
      </c>
      <c r="P1794">
        <v>0.0</v>
      </c>
      <c r="Q1794">
        <v>4.5</v>
      </c>
      <c r="R1794"/>
      <c r="S1794"/>
      <c r="T1794"/>
      <c r="U1794"/>
      <c r="V1794"/>
      <c r="W1794">
        <v>18</v>
      </c>
    </row>
    <row r="1795" spans="1:23">
      <c r="A1795"/>
      <c r="B1795" t="s">
        <v>63</v>
      </c>
      <c r="C1795" t="s">
        <v>63</v>
      </c>
      <c r="D1795" t="s">
        <v>33</v>
      </c>
      <c r="E1795" t="s">
        <v>34</v>
      </c>
      <c r="F1795" t="str">
        <f>"0002107"</f>
        <v>0002107</v>
      </c>
      <c r="G1795">
        <v>1</v>
      </c>
      <c r="H1795" t="str">
        <f>"00000000"</f>
        <v>00000000</v>
      </c>
      <c r="I1795" t="s">
        <v>35</v>
      </c>
      <c r="J1795"/>
      <c r="K1795">
        <v>0.08</v>
      </c>
      <c r="L1795">
        <v>0.0</v>
      </c>
      <c r="M1795"/>
      <c r="N1795"/>
      <c r="O1795">
        <v>0.02</v>
      </c>
      <c r="P1795">
        <v>0.2</v>
      </c>
      <c r="Q1795">
        <v>0.3</v>
      </c>
      <c r="R1795"/>
      <c r="S1795"/>
      <c r="T1795"/>
      <c r="U1795"/>
      <c r="V1795"/>
      <c r="W1795">
        <v>18</v>
      </c>
    </row>
    <row r="1796" spans="1:23">
      <c r="A1796"/>
      <c r="B1796" t="s">
        <v>63</v>
      </c>
      <c r="C1796" t="s">
        <v>63</v>
      </c>
      <c r="D1796" t="s">
        <v>33</v>
      </c>
      <c r="E1796" t="s">
        <v>34</v>
      </c>
      <c r="F1796" t="str">
        <f>"0002108"</f>
        <v>0002108</v>
      </c>
      <c r="G1796">
        <v>1</v>
      </c>
      <c r="H1796" t="str">
        <f>"00000000"</f>
        <v>00000000</v>
      </c>
      <c r="I1796" t="s">
        <v>35</v>
      </c>
      <c r="J1796"/>
      <c r="K1796">
        <v>265.19</v>
      </c>
      <c r="L1796">
        <v>0.0</v>
      </c>
      <c r="M1796"/>
      <c r="N1796"/>
      <c r="O1796">
        <v>47.73</v>
      </c>
      <c r="P1796">
        <v>0.0</v>
      </c>
      <c r="Q1796">
        <v>312.92</v>
      </c>
      <c r="R1796"/>
      <c r="S1796"/>
      <c r="T1796"/>
      <c r="U1796"/>
      <c r="V1796"/>
      <c r="W1796">
        <v>18</v>
      </c>
    </row>
    <row r="1797" spans="1:23">
      <c r="A1797"/>
      <c r="B1797" t="s">
        <v>63</v>
      </c>
      <c r="C1797" t="s">
        <v>63</v>
      </c>
      <c r="D1797" t="s">
        <v>33</v>
      </c>
      <c r="E1797" t="s">
        <v>34</v>
      </c>
      <c r="F1797" t="str">
        <f>"0002109"</f>
        <v>0002109</v>
      </c>
      <c r="G1797">
        <v>1</v>
      </c>
      <c r="H1797" t="str">
        <f>"00000000"</f>
        <v>00000000</v>
      </c>
      <c r="I1797" t="s">
        <v>35</v>
      </c>
      <c r="J1797"/>
      <c r="K1797">
        <v>32.2</v>
      </c>
      <c r="L1797">
        <v>0.0</v>
      </c>
      <c r="M1797"/>
      <c r="N1797"/>
      <c r="O1797">
        <v>5.8</v>
      </c>
      <c r="P1797">
        <v>0.2</v>
      </c>
      <c r="Q1797">
        <v>38.2</v>
      </c>
      <c r="R1797"/>
      <c r="S1797"/>
      <c r="T1797"/>
      <c r="U1797"/>
      <c r="V1797"/>
      <c r="W1797">
        <v>18</v>
      </c>
    </row>
    <row r="1798" spans="1:23">
      <c r="A1798"/>
      <c r="B1798" t="s">
        <v>63</v>
      </c>
      <c r="C1798" t="s">
        <v>63</v>
      </c>
      <c r="D1798" t="s">
        <v>33</v>
      </c>
      <c r="E1798" t="s">
        <v>34</v>
      </c>
      <c r="F1798" t="str">
        <f>"0002110"</f>
        <v>0002110</v>
      </c>
      <c r="G1798">
        <v>1</v>
      </c>
      <c r="H1798" t="str">
        <f>"00000000"</f>
        <v>00000000</v>
      </c>
      <c r="I1798" t="s">
        <v>35</v>
      </c>
      <c r="J1798"/>
      <c r="K1798">
        <v>34.75</v>
      </c>
      <c r="L1798">
        <v>0.0</v>
      </c>
      <c r="M1798"/>
      <c r="N1798"/>
      <c r="O1798">
        <v>6.25</v>
      </c>
      <c r="P1798">
        <v>0.0</v>
      </c>
      <c r="Q1798">
        <v>41.0</v>
      </c>
      <c r="R1798"/>
      <c r="S1798"/>
      <c r="T1798"/>
      <c r="U1798"/>
      <c r="V1798"/>
      <c r="W1798">
        <v>18</v>
      </c>
    </row>
    <row r="1799" spans="1:23">
      <c r="A1799"/>
      <c r="B1799" t="s">
        <v>63</v>
      </c>
      <c r="C1799" t="s">
        <v>63</v>
      </c>
      <c r="D1799" t="s">
        <v>33</v>
      </c>
      <c r="E1799" t="s">
        <v>34</v>
      </c>
      <c r="F1799" t="str">
        <f>"0002111"</f>
        <v>0002111</v>
      </c>
      <c r="G1799">
        <v>1</v>
      </c>
      <c r="H1799" t="str">
        <f>"00000000"</f>
        <v>00000000</v>
      </c>
      <c r="I1799" t="s">
        <v>35</v>
      </c>
      <c r="J1799"/>
      <c r="K1799">
        <v>20.96</v>
      </c>
      <c r="L1799">
        <v>0.0</v>
      </c>
      <c r="M1799"/>
      <c r="N1799"/>
      <c r="O1799">
        <v>3.77</v>
      </c>
      <c r="P1799">
        <v>0.2</v>
      </c>
      <c r="Q1799">
        <v>24.93</v>
      </c>
      <c r="R1799"/>
      <c r="S1799"/>
      <c r="T1799"/>
      <c r="U1799"/>
      <c r="V1799"/>
      <c r="W1799">
        <v>18</v>
      </c>
    </row>
    <row r="1800" spans="1:23">
      <c r="A1800"/>
      <c r="B1800" t="s">
        <v>63</v>
      </c>
      <c r="C1800" t="s">
        <v>63</v>
      </c>
      <c r="D1800" t="s">
        <v>33</v>
      </c>
      <c r="E1800" t="s">
        <v>34</v>
      </c>
      <c r="F1800" t="str">
        <f>"0002112"</f>
        <v>0002112</v>
      </c>
      <c r="G1800">
        <v>1</v>
      </c>
      <c r="H1800" t="str">
        <f>"00000000"</f>
        <v>00000000</v>
      </c>
      <c r="I1800" t="s">
        <v>35</v>
      </c>
      <c r="J1800"/>
      <c r="K1800">
        <v>3.81</v>
      </c>
      <c r="L1800">
        <v>0.0</v>
      </c>
      <c r="M1800"/>
      <c r="N1800"/>
      <c r="O1800">
        <v>0.69</v>
      </c>
      <c r="P1800">
        <v>0.0</v>
      </c>
      <c r="Q1800">
        <v>4.5</v>
      </c>
      <c r="R1800"/>
      <c r="S1800"/>
      <c r="T1800"/>
      <c r="U1800"/>
      <c r="V1800"/>
      <c r="W1800">
        <v>18</v>
      </c>
    </row>
    <row r="1801" spans="1:23">
      <c r="A1801"/>
      <c r="B1801" t="s">
        <v>63</v>
      </c>
      <c r="C1801" t="s">
        <v>63</v>
      </c>
      <c r="D1801" t="s">
        <v>33</v>
      </c>
      <c r="E1801" t="s">
        <v>34</v>
      </c>
      <c r="F1801" t="str">
        <f>"0002113"</f>
        <v>0002113</v>
      </c>
      <c r="G1801">
        <v>1</v>
      </c>
      <c r="H1801" t="str">
        <f>"00000000"</f>
        <v>00000000</v>
      </c>
      <c r="I1801" t="s">
        <v>35</v>
      </c>
      <c r="J1801"/>
      <c r="K1801">
        <v>8.31</v>
      </c>
      <c r="L1801">
        <v>0.0</v>
      </c>
      <c r="M1801"/>
      <c r="N1801"/>
      <c r="O1801">
        <v>1.49</v>
      </c>
      <c r="P1801">
        <v>0.0</v>
      </c>
      <c r="Q1801">
        <v>9.8</v>
      </c>
      <c r="R1801"/>
      <c r="S1801"/>
      <c r="T1801"/>
      <c r="U1801"/>
      <c r="V1801"/>
      <c r="W1801">
        <v>18</v>
      </c>
    </row>
    <row r="1802" spans="1:23">
      <c r="A1802"/>
      <c r="B1802" t="s">
        <v>63</v>
      </c>
      <c r="C1802" t="s">
        <v>63</v>
      </c>
      <c r="D1802" t="s">
        <v>33</v>
      </c>
      <c r="E1802" t="s">
        <v>34</v>
      </c>
      <c r="F1802" t="str">
        <f>"0002114"</f>
        <v>0002114</v>
      </c>
      <c r="G1802">
        <v>1</v>
      </c>
      <c r="H1802" t="str">
        <f>"00000000"</f>
        <v>00000000</v>
      </c>
      <c r="I1802" t="s">
        <v>35</v>
      </c>
      <c r="J1802"/>
      <c r="K1802">
        <v>5.0</v>
      </c>
      <c r="L1802">
        <v>0.0</v>
      </c>
      <c r="M1802"/>
      <c r="N1802"/>
      <c r="O1802">
        <v>0.9</v>
      </c>
      <c r="P1802">
        <v>0.0</v>
      </c>
      <c r="Q1802">
        <v>5.9</v>
      </c>
      <c r="R1802"/>
      <c r="S1802"/>
      <c r="T1802"/>
      <c r="U1802"/>
      <c r="V1802"/>
      <c r="W1802">
        <v>18</v>
      </c>
    </row>
    <row r="1803" spans="1:23">
      <c r="A1803"/>
      <c r="B1803" t="s">
        <v>63</v>
      </c>
      <c r="C1803" t="s">
        <v>63</v>
      </c>
      <c r="D1803" t="s">
        <v>33</v>
      </c>
      <c r="E1803" t="s">
        <v>34</v>
      </c>
      <c r="F1803" t="str">
        <f>"0002115"</f>
        <v>0002115</v>
      </c>
      <c r="G1803">
        <v>1</v>
      </c>
      <c r="H1803" t="str">
        <f>"00000000"</f>
        <v>00000000</v>
      </c>
      <c r="I1803" t="s">
        <v>35</v>
      </c>
      <c r="J1803"/>
      <c r="K1803">
        <v>37.72</v>
      </c>
      <c r="L1803">
        <v>0.0</v>
      </c>
      <c r="M1803"/>
      <c r="N1803"/>
      <c r="O1803">
        <v>6.79</v>
      </c>
      <c r="P1803">
        <v>0.0</v>
      </c>
      <c r="Q1803">
        <v>44.51</v>
      </c>
      <c r="R1803"/>
      <c r="S1803"/>
      <c r="T1803"/>
      <c r="U1803"/>
      <c r="V1803"/>
      <c r="W1803">
        <v>18</v>
      </c>
    </row>
    <row r="1804" spans="1:23">
      <c r="A1804"/>
      <c r="B1804" t="s">
        <v>63</v>
      </c>
      <c r="C1804" t="s">
        <v>63</v>
      </c>
      <c r="D1804" t="s">
        <v>33</v>
      </c>
      <c r="E1804" t="s">
        <v>34</v>
      </c>
      <c r="F1804" t="str">
        <f>"0002116"</f>
        <v>0002116</v>
      </c>
      <c r="G1804">
        <v>1</v>
      </c>
      <c r="H1804" t="str">
        <f>"00000000"</f>
        <v>00000000</v>
      </c>
      <c r="I1804" t="s">
        <v>35</v>
      </c>
      <c r="J1804"/>
      <c r="K1804">
        <v>10.92</v>
      </c>
      <c r="L1804">
        <v>0.0</v>
      </c>
      <c r="M1804"/>
      <c r="N1804"/>
      <c r="O1804">
        <v>1.97</v>
      </c>
      <c r="P1804">
        <v>0.2</v>
      </c>
      <c r="Q1804">
        <v>13.09</v>
      </c>
      <c r="R1804"/>
      <c r="S1804"/>
      <c r="T1804"/>
      <c r="U1804"/>
      <c r="V1804"/>
      <c r="W1804">
        <v>18</v>
      </c>
    </row>
    <row r="1805" spans="1:23">
      <c r="A1805"/>
      <c r="B1805" t="s">
        <v>63</v>
      </c>
      <c r="C1805" t="s">
        <v>63</v>
      </c>
      <c r="D1805" t="s">
        <v>33</v>
      </c>
      <c r="E1805" t="s">
        <v>34</v>
      </c>
      <c r="F1805" t="str">
        <f>"0002117"</f>
        <v>0002117</v>
      </c>
      <c r="G1805">
        <v>1</v>
      </c>
      <c r="H1805" t="str">
        <f>"00000000"</f>
        <v>00000000</v>
      </c>
      <c r="I1805" t="s">
        <v>35</v>
      </c>
      <c r="J1805"/>
      <c r="K1805">
        <v>11.36</v>
      </c>
      <c r="L1805">
        <v>0.0</v>
      </c>
      <c r="M1805"/>
      <c r="N1805"/>
      <c r="O1805">
        <v>2.04</v>
      </c>
      <c r="P1805">
        <v>0.0</v>
      </c>
      <c r="Q1805">
        <v>13.4</v>
      </c>
      <c r="R1805"/>
      <c r="S1805"/>
      <c r="T1805"/>
      <c r="U1805"/>
      <c r="V1805"/>
      <c r="W1805">
        <v>18</v>
      </c>
    </row>
    <row r="1806" spans="1:23">
      <c r="A1806"/>
      <c r="B1806" t="s">
        <v>63</v>
      </c>
      <c r="C1806" t="s">
        <v>63</v>
      </c>
      <c r="D1806" t="s">
        <v>33</v>
      </c>
      <c r="E1806" t="s">
        <v>34</v>
      </c>
      <c r="F1806" t="str">
        <f>"0002118"</f>
        <v>0002118</v>
      </c>
      <c r="G1806">
        <v>1</v>
      </c>
      <c r="H1806" t="str">
        <f>"00000000"</f>
        <v>00000000</v>
      </c>
      <c r="I1806" t="s">
        <v>35</v>
      </c>
      <c r="J1806"/>
      <c r="K1806">
        <v>12.29</v>
      </c>
      <c r="L1806">
        <v>0.0</v>
      </c>
      <c r="M1806"/>
      <c r="N1806"/>
      <c r="O1806">
        <v>2.21</v>
      </c>
      <c r="P1806">
        <v>0.0</v>
      </c>
      <c r="Q1806">
        <v>14.5</v>
      </c>
      <c r="R1806"/>
      <c r="S1806"/>
      <c r="T1806"/>
      <c r="U1806"/>
      <c r="V1806"/>
      <c r="W1806">
        <v>18</v>
      </c>
    </row>
    <row r="1807" spans="1:23">
      <c r="A1807"/>
      <c r="B1807" t="s">
        <v>63</v>
      </c>
      <c r="C1807" t="s">
        <v>63</v>
      </c>
      <c r="D1807" t="s">
        <v>33</v>
      </c>
      <c r="E1807" t="s">
        <v>34</v>
      </c>
      <c r="F1807" t="str">
        <f>"0002119"</f>
        <v>0002119</v>
      </c>
      <c r="G1807">
        <v>1</v>
      </c>
      <c r="H1807" t="str">
        <f>"00000000"</f>
        <v>00000000</v>
      </c>
      <c r="I1807" t="s">
        <v>35</v>
      </c>
      <c r="J1807"/>
      <c r="K1807">
        <v>2.37</v>
      </c>
      <c r="L1807">
        <v>0.0</v>
      </c>
      <c r="M1807"/>
      <c r="N1807"/>
      <c r="O1807">
        <v>0.43</v>
      </c>
      <c r="P1807">
        <v>0.0</v>
      </c>
      <c r="Q1807">
        <v>2.8</v>
      </c>
      <c r="R1807"/>
      <c r="S1807"/>
      <c r="T1807"/>
      <c r="U1807"/>
      <c r="V1807"/>
      <c r="W1807">
        <v>18</v>
      </c>
    </row>
    <row r="1808" spans="1:23">
      <c r="A1808"/>
      <c r="B1808" t="s">
        <v>63</v>
      </c>
      <c r="C1808" t="s">
        <v>63</v>
      </c>
      <c r="D1808" t="s">
        <v>33</v>
      </c>
      <c r="E1808" t="s">
        <v>34</v>
      </c>
      <c r="F1808" t="str">
        <f>"0002120"</f>
        <v>0002120</v>
      </c>
      <c r="G1808">
        <v>1</v>
      </c>
      <c r="H1808" t="str">
        <f>"00000000"</f>
        <v>00000000</v>
      </c>
      <c r="I1808" t="s">
        <v>35</v>
      </c>
      <c r="J1808"/>
      <c r="K1808">
        <v>4.14</v>
      </c>
      <c r="L1808">
        <v>0.0</v>
      </c>
      <c r="M1808"/>
      <c r="N1808"/>
      <c r="O1808">
        <v>0.75</v>
      </c>
      <c r="P1808">
        <v>0.0</v>
      </c>
      <c r="Q1808">
        <v>4.89</v>
      </c>
      <c r="R1808"/>
      <c r="S1808"/>
      <c r="T1808"/>
      <c r="U1808"/>
      <c r="V1808"/>
      <c r="W1808">
        <v>18</v>
      </c>
    </row>
    <row r="1809" spans="1:23">
      <c r="A1809"/>
      <c r="B1809" t="s">
        <v>63</v>
      </c>
      <c r="C1809" t="s">
        <v>63</v>
      </c>
      <c r="D1809" t="s">
        <v>33</v>
      </c>
      <c r="E1809" t="s">
        <v>34</v>
      </c>
      <c r="F1809" t="str">
        <f>"0002121"</f>
        <v>0002121</v>
      </c>
      <c r="G1809">
        <v>1</v>
      </c>
      <c r="H1809" t="str">
        <f>"00000000"</f>
        <v>00000000</v>
      </c>
      <c r="I1809" t="s">
        <v>35</v>
      </c>
      <c r="J1809"/>
      <c r="K1809">
        <v>3.64</v>
      </c>
      <c r="L1809">
        <v>0.0</v>
      </c>
      <c r="M1809"/>
      <c r="N1809"/>
      <c r="O1809">
        <v>0.66</v>
      </c>
      <c r="P1809">
        <v>0.0</v>
      </c>
      <c r="Q1809">
        <v>4.3</v>
      </c>
      <c r="R1809"/>
      <c r="S1809"/>
      <c r="T1809"/>
      <c r="U1809"/>
      <c r="V1809"/>
      <c r="W1809">
        <v>18</v>
      </c>
    </row>
    <row r="1810" spans="1:23">
      <c r="A1810"/>
      <c r="B1810" t="s">
        <v>63</v>
      </c>
      <c r="C1810" t="s">
        <v>63</v>
      </c>
      <c r="D1810" t="s">
        <v>33</v>
      </c>
      <c r="E1810" t="s">
        <v>34</v>
      </c>
      <c r="F1810" t="str">
        <f>"0002122"</f>
        <v>0002122</v>
      </c>
      <c r="G1810">
        <v>1</v>
      </c>
      <c r="H1810" t="str">
        <f>"00000000"</f>
        <v>00000000</v>
      </c>
      <c r="I1810" t="s">
        <v>35</v>
      </c>
      <c r="J1810"/>
      <c r="K1810">
        <v>25.34</v>
      </c>
      <c r="L1810">
        <v>0.0</v>
      </c>
      <c r="M1810"/>
      <c r="N1810"/>
      <c r="O1810">
        <v>4.56</v>
      </c>
      <c r="P1810">
        <v>0.2</v>
      </c>
      <c r="Q1810">
        <v>30.1</v>
      </c>
      <c r="R1810"/>
      <c r="S1810"/>
      <c r="T1810"/>
      <c r="U1810"/>
      <c r="V1810"/>
      <c r="W1810">
        <v>18</v>
      </c>
    </row>
    <row r="1811" spans="1:23">
      <c r="A1811"/>
      <c r="B1811" t="s">
        <v>63</v>
      </c>
      <c r="C1811" t="s">
        <v>63</v>
      </c>
      <c r="D1811" t="s">
        <v>33</v>
      </c>
      <c r="E1811" t="s">
        <v>34</v>
      </c>
      <c r="F1811" t="str">
        <f>"0002123"</f>
        <v>0002123</v>
      </c>
      <c r="G1811">
        <v>1</v>
      </c>
      <c r="H1811" t="str">
        <f>"00000000"</f>
        <v>00000000</v>
      </c>
      <c r="I1811" t="s">
        <v>35</v>
      </c>
      <c r="J1811"/>
      <c r="K1811">
        <v>12.13</v>
      </c>
      <c r="L1811">
        <v>0.0</v>
      </c>
      <c r="M1811"/>
      <c r="N1811"/>
      <c r="O1811">
        <v>2.18</v>
      </c>
      <c r="P1811">
        <v>0.2</v>
      </c>
      <c r="Q1811">
        <v>14.51</v>
      </c>
      <c r="R1811"/>
      <c r="S1811"/>
      <c r="T1811"/>
      <c r="U1811"/>
      <c r="V1811"/>
      <c r="W1811">
        <v>18</v>
      </c>
    </row>
    <row r="1812" spans="1:23">
      <c r="A1812"/>
      <c r="B1812" t="s">
        <v>63</v>
      </c>
      <c r="C1812" t="s">
        <v>63</v>
      </c>
      <c r="D1812" t="s">
        <v>33</v>
      </c>
      <c r="E1812" t="s">
        <v>34</v>
      </c>
      <c r="F1812" t="str">
        <f>"0002124"</f>
        <v>0002124</v>
      </c>
      <c r="G1812">
        <v>1</v>
      </c>
      <c r="H1812" t="str">
        <f>"00000000"</f>
        <v>00000000</v>
      </c>
      <c r="I1812" t="s">
        <v>35</v>
      </c>
      <c r="J1812"/>
      <c r="K1812">
        <v>5.93</v>
      </c>
      <c r="L1812">
        <v>0.0</v>
      </c>
      <c r="M1812"/>
      <c r="N1812"/>
      <c r="O1812">
        <v>1.07</v>
      </c>
      <c r="P1812">
        <v>0.0</v>
      </c>
      <c r="Q1812">
        <v>7.0</v>
      </c>
      <c r="R1812"/>
      <c r="S1812"/>
      <c r="T1812"/>
      <c r="U1812"/>
      <c r="V1812"/>
      <c r="W1812">
        <v>18</v>
      </c>
    </row>
    <row r="1813" spans="1:23">
      <c r="A1813"/>
      <c r="B1813" t="s">
        <v>63</v>
      </c>
      <c r="C1813" t="s">
        <v>63</v>
      </c>
      <c r="D1813" t="s">
        <v>33</v>
      </c>
      <c r="E1813" t="s">
        <v>34</v>
      </c>
      <c r="F1813" t="str">
        <f>"0002125"</f>
        <v>0002125</v>
      </c>
      <c r="G1813">
        <v>1</v>
      </c>
      <c r="H1813" t="str">
        <f>"00000000"</f>
        <v>00000000</v>
      </c>
      <c r="I1813" t="s">
        <v>35</v>
      </c>
      <c r="J1813"/>
      <c r="K1813">
        <v>6.48</v>
      </c>
      <c r="L1813">
        <v>0.0</v>
      </c>
      <c r="M1813"/>
      <c r="N1813"/>
      <c r="O1813">
        <v>1.17</v>
      </c>
      <c r="P1813">
        <v>0.2</v>
      </c>
      <c r="Q1813">
        <v>7.85</v>
      </c>
      <c r="R1813"/>
      <c r="S1813"/>
      <c r="T1813"/>
      <c r="U1813"/>
      <c r="V1813"/>
      <c r="W1813">
        <v>18</v>
      </c>
    </row>
    <row r="1814" spans="1:23">
      <c r="A1814"/>
      <c r="B1814" t="s">
        <v>63</v>
      </c>
      <c r="C1814" t="s">
        <v>63</v>
      </c>
      <c r="D1814" t="s">
        <v>33</v>
      </c>
      <c r="E1814" t="s">
        <v>34</v>
      </c>
      <c r="F1814" t="str">
        <f>"0002126"</f>
        <v>0002126</v>
      </c>
      <c r="G1814">
        <v>1</v>
      </c>
      <c r="H1814" t="str">
        <f>"00000000"</f>
        <v>00000000</v>
      </c>
      <c r="I1814" t="s">
        <v>35</v>
      </c>
      <c r="J1814"/>
      <c r="K1814">
        <v>57.02</v>
      </c>
      <c r="L1814">
        <v>0.0</v>
      </c>
      <c r="M1814"/>
      <c r="N1814"/>
      <c r="O1814">
        <v>10.26</v>
      </c>
      <c r="P1814">
        <v>0.2</v>
      </c>
      <c r="Q1814">
        <v>67.49</v>
      </c>
      <c r="R1814"/>
      <c r="S1814"/>
      <c r="T1814"/>
      <c r="U1814"/>
      <c r="V1814"/>
      <c r="W1814">
        <v>18</v>
      </c>
    </row>
    <row r="1815" spans="1:23">
      <c r="A1815"/>
      <c r="B1815" t="s">
        <v>63</v>
      </c>
      <c r="C1815" t="s">
        <v>63</v>
      </c>
      <c r="D1815" t="s">
        <v>33</v>
      </c>
      <c r="E1815" t="s">
        <v>34</v>
      </c>
      <c r="F1815" t="str">
        <f>"0002127"</f>
        <v>0002127</v>
      </c>
      <c r="G1815">
        <v>1</v>
      </c>
      <c r="H1815" t="str">
        <f>"00000000"</f>
        <v>00000000</v>
      </c>
      <c r="I1815" t="s">
        <v>35</v>
      </c>
      <c r="J1815"/>
      <c r="K1815">
        <v>4.83</v>
      </c>
      <c r="L1815">
        <v>0.0</v>
      </c>
      <c r="M1815"/>
      <c r="N1815"/>
      <c r="O1815">
        <v>0.87</v>
      </c>
      <c r="P1815">
        <v>0.0</v>
      </c>
      <c r="Q1815">
        <v>5.7</v>
      </c>
      <c r="R1815"/>
      <c r="S1815"/>
      <c r="T1815"/>
      <c r="U1815"/>
      <c r="V1815"/>
      <c r="W1815">
        <v>18</v>
      </c>
    </row>
    <row r="1816" spans="1:23">
      <c r="A1816"/>
      <c r="B1816" t="s">
        <v>63</v>
      </c>
      <c r="C1816" t="s">
        <v>63</v>
      </c>
      <c r="D1816" t="s">
        <v>33</v>
      </c>
      <c r="E1816" t="s">
        <v>34</v>
      </c>
      <c r="F1816" t="str">
        <f>"0002128"</f>
        <v>0002128</v>
      </c>
      <c r="G1816">
        <v>1</v>
      </c>
      <c r="H1816" t="str">
        <f>"00000000"</f>
        <v>00000000</v>
      </c>
      <c r="I1816" t="s">
        <v>35</v>
      </c>
      <c r="J1816"/>
      <c r="K1816">
        <v>28.37</v>
      </c>
      <c r="L1816">
        <v>0.0</v>
      </c>
      <c r="M1816"/>
      <c r="N1816"/>
      <c r="O1816">
        <v>5.11</v>
      </c>
      <c r="P1816">
        <v>0.4</v>
      </c>
      <c r="Q1816">
        <v>33.88</v>
      </c>
      <c r="R1816"/>
      <c r="S1816"/>
      <c r="T1816"/>
      <c r="U1816"/>
      <c r="V1816"/>
      <c r="W1816">
        <v>18</v>
      </c>
    </row>
    <row r="1817" spans="1:23">
      <c r="A1817"/>
      <c r="B1817" t="s">
        <v>63</v>
      </c>
      <c r="C1817" t="s">
        <v>63</v>
      </c>
      <c r="D1817" t="s">
        <v>33</v>
      </c>
      <c r="E1817" t="s">
        <v>34</v>
      </c>
      <c r="F1817" t="str">
        <f>"0002129"</f>
        <v>0002129</v>
      </c>
      <c r="G1817">
        <v>1</v>
      </c>
      <c r="H1817" t="str">
        <f>"00000000"</f>
        <v>00000000</v>
      </c>
      <c r="I1817" t="s">
        <v>35</v>
      </c>
      <c r="J1817"/>
      <c r="K1817">
        <v>21.23</v>
      </c>
      <c r="L1817">
        <v>0.0</v>
      </c>
      <c r="M1817"/>
      <c r="N1817"/>
      <c r="O1817">
        <v>3.82</v>
      </c>
      <c r="P1817">
        <v>0.0</v>
      </c>
      <c r="Q1817">
        <v>25.05</v>
      </c>
      <c r="R1817"/>
      <c r="S1817"/>
      <c r="T1817"/>
      <c r="U1817"/>
      <c r="V1817"/>
      <c r="W1817">
        <v>18</v>
      </c>
    </row>
    <row r="1818" spans="1:23">
      <c r="A1818"/>
      <c r="B1818" t="s">
        <v>63</v>
      </c>
      <c r="C1818" t="s">
        <v>63</v>
      </c>
      <c r="D1818" t="s">
        <v>33</v>
      </c>
      <c r="E1818" t="s">
        <v>34</v>
      </c>
      <c r="F1818" t="str">
        <f>"0002130"</f>
        <v>0002130</v>
      </c>
      <c r="G1818">
        <v>1</v>
      </c>
      <c r="H1818" t="str">
        <f>"00000000"</f>
        <v>00000000</v>
      </c>
      <c r="I1818" t="s">
        <v>35</v>
      </c>
      <c r="J1818"/>
      <c r="K1818">
        <v>18.63</v>
      </c>
      <c r="L1818">
        <v>0.0</v>
      </c>
      <c r="M1818"/>
      <c r="N1818"/>
      <c r="O1818">
        <v>3.35</v>
      </c>
      <c r="P1818">
        <v>0.2</v>
      </c>
      <c r="Q1818">
        <v>22.18</v>
      </c>
      <c r="R1818"/>
      <c r="S1818"/>
      <c r="T1818"/>
      <c r="U1818"/>
      <c r="V1818"/>
      <c r="W1818">
        <v>18</v>
      </c>
    </row>
    <row r="1819" spans="1:23">
      <c r="A1819"/>
      <c r="B1819" t="s">
        <v>63</v>
      </c>
      <c r="C1819" t="s">
        <v>63</v>
      </c>
      <c r="D1819" t="s">
        <v>33</v>
      </c>
      <c r="E1819" t="s">
        <v>34</v>
      </c>
      <c r="F1819" t="str">
        <f>"0002131"</f>
        <v>0002131</v>
      </c>
      <c r="G1819">
        <v>1</v>
      </c>
      <c r="H1819" t="str">
        <f>"00000000"</f>
        <v>00000000</v>
      </c>
      <c r="I1819" t="s">
        <v>35</v>
      </c>
      <c r="J1819"/>
      <c r="K1819">
        <v>3.9</v>
      </c>
      <c r="L1819">
        <v>0.0</v>
      </c>
      <c r="M1819"/>
      <c r="N1819"/>
      <c r="O1819">
        <v>0.7</v>
      </c>
      <c r="P1819">
        <v>0.2</v>
      </c>
      <c r="Q1819">
        <v>4.8</v>
      </c>
      <c r="R1819"/>
      <c r="S1819"/>
      <c r="T1819"/>
      <c r="U1819"/>
      <c r="V1819"/>
      <c r="W1819">
        <v>18</v>
      </c>
    </row>
    <row r="1820" spans="1:23">
      <c r="A1820"/>
      <c r="B1820" t="s">
        <v>63</v>
      </c>
      <c r="C1820" t="s">
        <v>63</v>
      </c>
      <c r="D1820" t="s">
        <v>33</v>
      </c>
      <c r="E1820" t="s">
        <v>34</v>
      </c>
      <c r="F1820" t="str">
        <f>"0002132"</f>
        <v>0002132</v>
      </c>
      <c r="G1820">
        <v>1</v>
      </c>
      <c r="H1820" t="str">
        <f>"00000000"</f>
        <v>00000000</v>
      </c>
      <c r="I1820" t="s">
        <v>35</v>
      </c>
      <c r="J1820"/>
      <c r="K1820">
        <v>22.89</v>
      </c>
      <c r="L1820">
        <v>0.0</v>
      </c>
      <c r="M1820"/>
      <c r="N1820"/>
      <c r="O1820">
        <v>4.12</v>
      </c>
      <c r="P1820">
        <v>0.2</v>
      </c>
      <c r="Q1820">
        <v>27.21</v>
      </c>
      <c r="R1820"/>
      <c r="S1820"/>
      <c r="T1820"/>
      <c r="U1820"/>
      <c r="V1820"/>
      <c r="W1820">
        <v>18</v>
      </c>
    </row>
    <row r="1821" spans="1:23">
      <c r="A1821"/>
      <c r="B1821" t="s">
        <v>63</v>
      </c>
      <c r="C1821" t="s">
        <v>63</v>
      </c>
      <c r="D1821" t="s">
        <v>33</v>
      </c>
      <c r="E1821" t="s">
        <v>34</v>
      </c>
      <c r="F1821" t="str">
        <f>"0002133"</f>
        <v>0002133</v>
      </c>
      <c r="G1821">
        <v>1</v>
      </c>
      <c r="H1821" t="str">
        <f>"00000000"</f>
        <v>00000000</v>
      </c>
      <c r="I1821" t="s">
        <v>35</v>
      </c>
      <c r="J1821"/>
      <c r="K1821">
        <v>19.26</v>
      </c>
      <c r="L1821">
        <v>0.0</v>
      </c>
      <c r="M1821"/>
      <c r="N1821"/>
      <c r="O1821">
        <v>3.47</v>
      </c>
      <c r="P1821">
        <v>0.0</v>
      </c>
      <c r="Q1821">
        <v>22.72</v>
      </c>
      <c r="R1821"/>
      <c r="S1821"/>
      <c r="T1821"/>
      <c r="U1821"/>
      <c r="V1821"/>
      <c r="W1821">
        <v>18</v>
      </c>
    </row>
    <row r="1822" spans="1:23">
      <c r="A1822"/>
      <c r="B1822" t="s">
        <v>63</v>
      </c>
      <c r="C1822" t="s">
        <v>63</v>
      </c>
      <c r="D1822" t="s">
        <v>33</v>
      </c>
      <c r="E1822" t="s">
        <v>34</v>
      </c>
      <c r="F1822" t="str">
        <f>"0002134"</f>
        <v>0002134</v>
      </c>
      <c r="G1822">
        <v>1</v>
      </c>
      <c r="H1822" t="str">
        <f>"00000000"</f>
        <v>00000000</v>
      </c>
      <c r="I1822" t="s">
        <v>35</v>
      </c>
      <c r="J1822"/>
      <c r="K1822">
        <v>9.56</v>
      </c>
      <c r="L1822">
        <v>0.0</v>
      </c>
      <c r="M1822"/>
      <c r="N1822"/>
      <c r="O1822">
        <v>1.72</v>
      </c>
      <c r="P1822">
        <v>0.0</v>
      </c>
      <c r="Q1822">
        <v>11.28</v>
      </c>
      <c r="R1822"/>
      <c r="S1822"/>
      <c r="T1822"/>
      <c r="U1822"/>
      <c r="V1822"/>
      <c r="W1822">
        <v>18</v>
      </c>
    </row>
    <row r="1823" spans="1:23">
      <c r="A1823"/>
      <c r="B1823" t="s">
        <v>63</v>
      </c>
      <c r="C1823" t="s">
        <v>63</v>
      </c>
      <c r="D1823" t="s">
        <v>33</v>
      </c>
      <c r="E1823" t="s">
        <v>34</v>
      </c>
      <c r="F1823" t="str">
        <f>"0002135"</f>
        <v>0002135</v>
      </c>
      <c r="G1823">
        <v>1</v>
      </c>
      <c r="H1823" t="str">
        <f>"00000000"</f>
        <v>00000000</v>
      </c>
      <c r="I1823" t="s">
        <v>35</v>
      </c>
      <c r="J1823"/>
      <c r="K1823">
        <v>3.24</v>
      </c>
      <c r="L1823">
        <v>0.0</v>
      </c>
      <c r="M1823"/>
      <c r="N1823"/>
      <c r="O1823">
        <v>0.58</v>
      </c>
      <c r="P1823">
        <v>0.0</v>
      </c>
      <c r="Q1823">
        <v>3.82</v>
      </c>
      <c r="R1823"/>
      <c r="S1823"/>
      <c r="T1823"/>
      <c r="U1823"/>
      <c r="V1823"/>
      <c r="W1823">
        <v>18</v>
      </c>
    </row>
    <row r="1824" spans="1:23">
      <c r="A1824"/>
      <c r="B1824" t="s">
        <v>63</v>
      </c>
      <c r="C1824" t="s">
        <v>63</v>
      </c>
      <c r="D1824" t="s">
        <v>33</v>
      </c>
      <c r="E1824" t="s">
        <v>34</v>
      </c>
      <c r="F1824" t="str">
        <f>"0002136"</f>
        <v>0002136</v>
      </c>
      <c r="G1824">
        <v>1</v>
      </c>
      <c r="H1824" t="str">
        <f>"00000000"</f>
        <v>00000000</v>
      </c>
      <c r="I1824" t="s">
        <v>35</v>
      </c>
      <c r="J1824"/>
      <c r="K1824">
        <v>5.86</v>
      </c>
      <c r="L1824">
        <v>0.0</v>
      </c>
      <c r="M1824"/>
      <c r="N1824"/>
      <c r="O1824">
        <v>1.05</v>
      </c>
      <c r="P1824">
        <v>0.0</v>
      </c>
      <c r="Q1824">
        <v>6.91</v>
      </c>
      <c r="R1824"/>
      <c r="S1824"/>
      <c r="T1824"/>
      <c r="U1824"/>
      <c r="V1824"/>
      <c r="W1824">
        <v>18</v>
      </c>
    </row>
    <row r="1825" spans="1:23">
      <c r="A1825"/>
      <c r="B1825" t="s">
        <v>63</v>
      </c>
      <c r="C1825" t="s">
        <v>63</v>
      </c>
      <c r="D1825" t="s">
        <v>33</v>
      </c>
      <c r="E1825" t="s">
        <v>34</v>
      </c>
      <c r="F1825" t="str">
        <f>"0002137"</f>
        <v>0002137</v>
      </c>
      <c r="G1825">
        <v>1</v>
      </c>
      <c r="H1825" t="str">
        <f>"00000000"</f>
        <v>00000000</v>
      </c>
      <c r="I1825" t="s">
        <v>35</v>
      </c>
      <c r="J1825"/>
      <c r="K1825">
        <v>27.91</v>
      </c>
      <c r="L1825">
        <v>0.0</v>
      </c>
      <c r="M1825"/>
      <c r="N1825"/>
      <c r="O1825">
        <v>5.02</v>
      </c>
      <c r="P1825">
        <v>0.2</v>
      </c>
      <c r="Q1825">
        <v>33.13</v>
      </c>
      <c r="R1825"/>
      <c r="S1825"/>
      <c r="T1825"/>
      <c r="U1825"/>
      <c r="V1825"/>
      <c r="W1825">
        <v>18</v>
      </c>
    </row>
    <row r="1826" spans="1:23">
      <c r="A1826"/>
      <c r="B1826" t="s">
        <v>63</v>
      </c>
      <c r="C1826" t="s">
        <v>63</v>
      </c>
      <c r="D1826" t="s">
        <v>33</v>
      </c>
      <c r="E1826" t="s">
        <v>34</v>
      </c>
      <c r="F1826" t="str">
        <f>"0002138"</f>
        <v>0002138</v>
      </c>
      <c r="G1826">
        <v>1</v>
      </c>
      <c r="H1826" t="str">
        <f>"00000000"</f>
        <v>00000000</v>
      </c>
      <c r="I1826" t="s">
        <v>35</v>
      </c>
      <c r="J1826"/>
      <c r="K1826">
        <v>5.34</v>
      </c>
      <c r="L1826">
        <v>0.0</v>
      </c>
      <c r="M1826"/>
      <c r="N1826"/>
      <c r="O1826">
        <v>0.96</v>
      </c>
      <c r="P1826">
        <v>0.0</v>
      </c>
      <c r="Q1826">
        <v>6.3</v>
      </c>
      <c r="R1826"/>
      <c r="S1826"/>
      <c r="T1826"/>
      <c r="U1826"/>
      <c r="V1826"/>
      <c r="W1826">
        <v>18</v>
      </c>
    </row>
    <row r="1827" spans="1:23">
      <c r="A1827"/>
      <c r="B1827" t="s">
        <v>63</v>
      </c>
      <c r="C1827" t="s">
        <v>63</v>
      </c>
      <c r="D1827" t="s">
        <v>33</v>
      </c>
      <c r="E1827" t="s">
        <v>34</v>
      </c>
      <c r="F1827" t="str">
        <f>"0002139"</f>
        <v>0002139</v>
      </c>
      <c r="G1827">
        <v>1</v>
      </c>
      <c r="H1827" t="str">
        <f>"00000000"</f>
        <v>00000000</v>
      </c>
      <c r="I1827" t="s">
        <v>35</v>
      </c>
      <c r="J1827"/>
      <c r="K1827">
        <v>8.06</v>
      </c>
      <c r="L1827">
        <v>0.0</v>
      </c>
      <c r="M1827"/>
      <c r="N1827"/>
      <c r="O1827">
        <v>1.45</v>
      </c>
      <c r="P1827">
        <v>0.0</v>
      </c>
      <c r="Q1827">
        <v>9.51</v>
      </c>
      <c r="R1827"/>
      <c r="S1827"/>
      <c r="T1827"/>
      <c r="U1827"/>
      <c r="V1827"/>
      <c r="W1827">
        <v>18</v>
      </c>
    </row>
    <row r="1828" spans="1:23">
      <c r="A1828"/>
      <c r="B1828" t="s">
        <v>63</v>
      </c>
      <c r="C1828" t="s">
        <v>63</v>
      </c>
      <c r="D1828" t="s">
        <v>33</v>
      </c>
      <c r="E1828" t="s">
        <v>34</v>
      </c>
      <c r="F1828" t="str">
        <f>"0002140"</f>
        <v>0002140</v>
      </c>
      <c r="G1828">
        <v>1</v>
      </c>
      <c r="H1828" t="str">
        <f>"00000000"</f>
        <v>00000000</v>
      </c>
      <c r="I1828" t="s">
        <v>35</v>
      </c>
      <c r="J1828"/>
      <c r="K1828">
        <v>23.72</v>
      </c>
      <c r="L1828">
        <v>0.0</v>
      </c>
      <c r="M1828"/>
      <c r="N1828"/>
      <c r="O1828">
        <v>4.27</v>
      </c>
      <c r="P1828">
        <v>0.2</v>
      </c>
      <c r="Q1828">
        <v>28.19</v>
      </c>
      <c r="R1828"/>
      <c r="S1828"/>
      <c r="T1828"/>
      <c r="U1828"/>
      <c r="V1828"/>
      <c r="W1828">
        <v>18</v>
      </c>
    </row>
    <row r="1829" spans="1:23">
      <c r="A1829"/>
      <c r="B1829" t="s">
        <v>63</v>
      </c>
      <c r="C1829" t="s">
        <v>63</v>
      </c>
      <c r="D1829" t="s">
        <v>33</v>
      </c>
      <c r="E1829" t="s">
        <v>34</v>
      </c>
      <c r="F1829" t="str">
        <f>"0002141"</f>
        <v>0002141</v>
      </c>
      <c r="G1829">
        <v>1</v>
      </c>
      <c r="H1829" t="str">
        <f>"00000000"</f>
        <v>00000000</v>
      </c>
      <c r="I1829" t="s">
        <v>35</v>
      </c>
      <c r="J1829"/>
      <c r="K1829">
        <v>5.6</v>
      </c>
      <c r="L1829">
        <v>0.0</v>
      </c>
      <c r="M1829"/>
      <c r="N1829"/>
      <c r="O1829">
        <v>1.01</v>
      </c>
      <c r="P1829">
        <v>0.2</v>
      </c>
      <c r="Q1829">
        <v>6.81</v>
      </c>
      <c r="R1829"/>
      <c r="S1829"/>
      <c r="T1829"/>
      <c r="U1829"/>
      <c r="V1829"/>
      <c r="W1829">
        <v>18</v>
      </c>
    </row>
    <row r="1830" spans="1:23">
      <c r="A1830"/>
      <c r="B1830" t="s">
        <v>63</v>
      </c>
      <c r="C1830" t="s">
        <v>63</v>
      </c>
      <c r="D1830" t="s">
        <v>33</v>
      </c>
      <c r="E1830" t="s">
        <v>34</v>
      </c>
      <c r="F1830" t="str">
        <f>"0002142"</f>
        <v>0002142</v>
      </c>
      <c r="G1830">
        <v>1</v>
      </c>
      <c r="H1830" t="str">
        <f>"00000000"</f>
        <v>00000000</v>
      </c>
      <c r="I1830" t="s">
        <v>35</v>
      </c>
      <c r="J1830"/>
      <c r="K1830">
        <v>26.43</v>
      </c>
      <c r="L1830">
        <v>0.0</v>
      </c>
      <c r="M1830"/>
      <c r="N1830"/>
      <c r="O1830">
        <v>4.76</v>
      </c>
      <c r="P1830">
        <v>0.2</v>
      </c>
      <c r="Q1830">
        <v>31.39</v>
      </c>
      <c r="R1830"/>
      <c r="S1830"/>
      <c r="T1830"/>
      <c r="U1830"/>
      <c r="V1830"/>
      <c r="W1830">
        <v>18</v>
      </c>
    </row>
    <row r="1831" spans="1:23">
      <c r="A1831"/>
      <c r="B1831" t="s">
        <v>63</v>
      </c>
      <c r="C1831" t="s">
        <v>63</v>
      </c>
      <c r="D1831" t="s">
        <v>33</v>
      </c>
      <c r="E1831" t="s">
        <v>34</v>
      </c>
      <c r="F1831" t="str">
        <f>"0002143"</f>
        <v>0002143</v>
      </c>
      <c r="G1831">
        <v>1</v>
      </c>
      <c r="H1831" t="str">
        <f>"00000000"</f>
        <v>00000000</v>
      </c>
      <c r="I1831" t="s">
        <v>35</v>
      </c>
      <c r="J1831"/>
      <c r="K1831">
        <v>17.5</v>
      </c>
      <c r="L1831">
        <v>0.0</v>
      </c>
      <c r="M1831"/>
      <c r="N1831"/>
      <c r="O1831">
        <v>3.15</v>
      </c>
      <c r="P1831">
        <v>0.2</v>
      </c>
      <c r="Q1831">
        <v>20.85</v>
      </c>
      <c r="R1831"/>
      <c r="S1831"/>
      <c r="T1831"/>
      <c r="U1831"/>
      <c r="V1831"/>
      <c r="W1831">
        <v>18</v>
      </c>
    </row>
    <row r="1832" spans="1:23">
      <c r="A1832"/>
      <c r="B1832" t="s">
        <v>63</v>
      </c>
      <c r="C1832" t="s">
        <v>63</v>
      </c>
      <c r="D1832" t="s">
        <v>33</v>
      </c>
      <c r="E1832" t="s">
        <v>34</v>
      </c>
      <c r="F1832" t="str">
        <f>"0002144"</f>
        <v>0002144</v>
      </c>
      <c r="G1832">
        <v>1</v>
      </c>
      <c r="H1832" t="str">
        <f>"00000000"</f>
        <v>00000000</v>
      </c>
      <c r="I1832" t="s">
        <v>35</v>
      </c>
      <c r="J1832"/>
      <c r="K1832">
        <v>49.75</v>
      </c>
      <c r="L1832">
        <v>0.0</v>
      </c>
      <c r="M1832"/>
      <c r="N1832"/>
      <c r="O1832">
        <v>8.95</v>
      </c>
      <c r="P1832">
        <v>0.2</v>
      </c>
      <c r="Q1832">
        <v>58.9</v>
      </c>
      <c r="R1832"/>
      <c r="S1832"/>
      <c r="T1832"/>
      <c r="U1832"/>
      <c r="V1832"/>
      <c r="W1832">
        <v>18</v>
      </c>
    </row>
    <row r="1833" spans="1:23">
      <c r="A1833"/>
      <c r="B1833" t="s">
        <v>63</v>
      </c>
      <c r="C1833" t="s">
        <v>63</v>
      </c>
      <c r="D1833" t="s">
        <v>33</v>
      </c>
      <c r="E1833" t="s">
        <v>34</v>
      </c>
      <c r="F1833" t="str">
        <f>"0002145"</f>
        <v>0002145</v>
      </c>
      <c r="G1833">
        <v>1</v>
      </c>
      <c r="H1833" t="str">
        <f>"00000000"</f>
        <v>00000000</v>
      </c>
      <c r="I1833" t="s">
        <v>35</v>
      </c>
      <c r="J1833"/>
      <c r="K1833">
        <v>53.39</v>
      </c>
      <c r="L1833">
        <v>0.0</v>
      </c>
      <c r="M1833"/>
      <c r="N1833"/>
      <c r="O1833">
        <v>9.61</v>
      </c>
      <c r="P1833">
        <v>0.0</v>
      </c>
      <c r="Q1833">
        <v>63.0</v>
      </c>
      <c r="R1833"/>
      <c r="S1833"/>
      <c r="T1833"/>
      <c r="U1833"/>
      <c r="V1833"/>
      <c r="W1833">
        <v>18</v>
      </c>
    </row>
    <row r="1834" spans="1:23">
      <c r="A1834"/>
      <c r="B1834" t="s">
        <v>63</v>
      </c>
      <c r="C1834" t="s">
        <v>63</v>
      </c>
      <c r="D1834" t="s">
        <v>33</v>
      </c>
      <c r="E1834" t="s">
        <v>34</v>
      </c>
      <c r="F1834" t="str">
        <f>"0002146"</f>
        <v>0002146</v>
      </c>
      <c r="G1834">
        <v>1</v>
      </c>
      <c r="H1834" t="str">
        <f>"00000000"</f>
        <v>00000000</v>
      </c>
      <c r="I1834" t="s">
        <v>35</v>
      </c>
      <c r="J1834"/>
      <c r="K1834">
        <v>6.27</v>
      </c>
      <c r="L1834">
        <v>0.0</v>
      </c>
      <c r="M1834"/>
      <c r="N1834"/>
      <c r="O1834">
        <v>1.13</v>
      </c>
      <c r="P1834">
        <v>0.0</v>
      </c>
      <c r="Q1834">
        <v>7.4</v>
      </c>
      <c r="R1834"/>
      <c r="S1834"/>
      <c r="T1834"/>
      <c r="U1834"/>
      <c r="V1834"/>
      <c r="W1834">
        <v>18</v>
      </c>
    </row>
    <row r="1835" spans="1:23">
      <c r="A1835"/>
      <c r="B1835" t="s">
        <v>63</v>
      </c>
      <c r="C1835" t="s">
        <v>63</v>
      </c>
      <c r="D1835" t="s">
        <v>33</v>
      </c>
      <c r="E1835" t="s">
        <v>34</v>
      </c>
      <c r="F1835" t="str">
        <f>"0002147"</f>
        <v>0002147</v>
      </c>
      <c r="G1835">
        <v>1</v>
      </c>
      <c r="H1835" t="str">
        <f>"00000000"</f>
        <v>00000000</v>
      </c>
      <c r="I1835" t="s">
        <v>35</v>
      </c>
      <c r="J1835"/>
      <c r="K1835">
        <v>19.56</v>
      </c>
      <c r="L1835">
        <v>0.0</v>
      </c>
      <c r="M1835"/>
      <c r="N1835"/>
      <c r="O1835">
        <v>3.52</v>
      </c>
      <c r="P1835">
        <v>0.0</v>
      </c>
      <c r="Q1835">
        <v>23.08</v>
      </c>
      <c r="R1835"/>
      <c r="S1835"/>
      <c r="T1835"/>
      <c r="U1835"/>
      <c r="V1835"/>
      <c r="W1835">
        <v>18</v>
      </c>
    </row>
    <row r="1836" spans="1:23">
      <c r="A1836"/>
      <c r="B1836" t="s">
        <v>63</v>
      </c>
      <c r="C1836" t="s">
        <v>63</v>
      </c>
      <c r="D1836" t="s">
        <v>33</v>
      </c>
      <c r="E1836" t="s">
        <v>34</v>
      </c>
      <c r="F1836" t="str">
        <f>"0002148"</f>
        <v>0002148</v>
      </c>
      <c r="G1836">
        <v>1</v>
      </c>
      <c r="H1836" t="str">
        <f>"00000000"</f>
        <v>00000000</v>
      </c>
      <c r="I1836" t="s">
        <v>35</v>
      </c>
      <c r="J1836"/>
      <c r="K1836">
        <v>25.51</v>
      </c>
      <c r="L1836">
        <v>0.0</v>
      </c>
      <c r="M1836"/>
      <c r="N1836"/>
      <c r="O1836">
        <v>4.59</v>
      </c>
      <c r="P1836">
        <v>0.2</v>
      </c>
      <c r="Q1836">
        <v>30.3</v>
      </c>
      <c r="R1836"/>
      <c r="S1836"/>
      <c r="T1836"/>
      <c r="U1836"/>
      <c r="V1836"/>
      <c r="W1836">
        <v>18</v>
      </c>
    </row>
    <row r="1837" spans="1:23">
      <c r="A1837"/>
      <c r="B1837" t="s">
        <v>63</v>
      </c>
      <c r="C1837" t="s">
        <v>63</v>
      </c>
      <c r="D1837" t="s">
        <v>33</v>
      </c>
      <c r="E1837" t="s">
        <v>34</v>
      </c>
      <c r="F1837" t="str">
        <f>"0002149"</f>
        <v>0002149</v>
      </c>
      <c r="G1837">
        <v>1</v>
      </c>
      <c r="H1837" t="str">
        <f>"00000000"</f>
        <v>00000000</v>
      </c>
      <c r="I1837" t="s">
        <v>35</v>
      </c>
      <c r="J1837"/>
      <c r="K1837">
        <v>1.53</v>
      </c>
      <c r="L1837">
        <v>0.0</v>
      </c>
      <c r="M1837"/>
      <c r="N1837"/>
      <c r="O1837">
        <v>0.27</v>
      </c>
      <c r="P1837">
        <v>0.0</v>
      </c>
      <c r="Q1837">
        <v>1.8</v>
      </c>
      <c r="R1837"/>
      <c r="S1837"/>
      <c r="T1837"/>
      <c r="U1837"/>
      <c r="V1837"/>
      <c r="W1837">
        <v>18</v>
      </c>
    </row>
    <row r="1838" spans="1:23">
      <c r="A1838"/>
      <c r="B1838" t="s">
        <v>63</v>
      </c>
      <c r="C1838" t="s">
        <v>63</v>
      </c>
      <c r="D1838" t="s">
        <v>33</v>
      </c>
      <c r="E1838" t="s">
        <v>34</v>
      </c>
      <c r="F1838" t="str">
        <f>"0002150"</f>
        <v>0002150</v>
      </c>
      <c r="G1838">
        <v>1</v>
      </c>
      <c r="H1838" t="str">
        <f>"00000000"</f>
        <v>00000000</v>
      </c>
      <c r="I1838" t="s">
        <v>35</v>
      </c>
      <c r="J1838"/>
      <c r="K1838">
        <v>7.82</v>
      </c>
      <c r="L1838">
        <v>0.0</v>
      </c>
      <c r="M1838"/>
      <c r="N1838"/>
      <c r="O1838">
        <v>1.41</v>
      </c>
      <c r="P1838">
        <v>0.2</v>
      </c>
      <c r="Q1838">
        <v>9.43</v>
      </c>
      <c r="R1838"/>
      <c r="S1838"/>
      <c r="T1838"/>
      <c r="U1838"/>
      <c r="V1838"/>
      <c r="W1838">
        <v>18</v>
      </c>
    </row>
    <row r="1839" spans="1:23">
      <c r="A1839"/>
      <c r="B1839" t="s">
        <v>63</v>
      </c>
      <c r="C1839" t="s">
        <v>63</v>
      </c>
      <c r="D1839" t="s">
        <v>33</v>
      </c>
      <c r="E1839" t="s">
        <v>34</v>
      </c>
      <c r="F1839" t="str">
        <f>"0002151"</f>
        <v>0002151</v>
      </c>
      <c r="G1839">
        <v>1</v>
      </c>
      <c r="H1839" t="str">
        <f>"00000000"</f>
        <v>00000000</v>
      </c>
      <c r="I1839" t="s">
        <v>35</v>
      </c>
      <c r="J1839"/>
      <c r="K1839">
        <v>67.48</v>
      </c>
      <c r="L1839">
        <v>0.0</v>
      </c>
      <c r="M1839"/>
      <c r="N1839"/>
      <c r="O1839">
        <v>12.15</v>
      </c>
      <c r="P1839">
        <v>0.2</v>
      </c>
      <c r="Q1839">
        <v>79.82</v>
      </c>
      <c r="R1839"/>
      <c r="S1839"/>
      <c r="T1839"/>
      <c r="U1839"/>
      <c r="V1839"/>
      <c r="W1839">
        <v>18</v>
      </c>
    </row>
    <row r="1840" spans="1:23">
      <c r="A1840"/>
      <c r="B1840" t="s">
        <v>63</v>
      </c>
      <c r="C1840" t="s">
        <v>63</v>
      </c>
      <c r="D1840" t="s">
        <v>33</v>
      </c>
      <c r="E1840" t="s">
        <v>34</v>
      </c>
      <c r="F1840" t="str">
        <f>"0002152"</f>
        <v>0002152</v>
      </c>
      <c r="G1840">
        <v>1</v>
      </c>
      <c r="H1840" t="str">
        <f>"00000000"</f>
        <v>00000000</v>
      </c>
      <c r="I1840" t="s">
        <v>35</v>
      </c>
      <c r="J1840"/>
      <c r="K1840">
        <v>8.35</v>
      </c>
      <c r="L1840">
        <v>0.0</v>
      </c>
      <c r="M1840"/>
      <c r="N1840"/>
      <c r="O1840">
        <v>1.5</v>
      </c>
      <c r="P1840">
        <v>0.2</v>
      </c>
      <c r="Q1840">
        <v>10.05</v>
      </c>
      <c r="R1840"/>
      <c r="S1840"/>
      <c r="T1840"/>
      <c r="U1840"/>
      <c r="V1840"/>
      <c r="W1840">
        <v>18</v>
      </c>
    </row>
    <row r="1841" spans="1:23">
      <c r="A1841"/>
      <c r="B1841" t="s">
        <v>63</v>
      </c>
      <c r="C1841" t="s">
        <v>63</v>
      </c>
      <c r="D1841" t="s">
        <v>33</v>
      </c>
      <c r="E1841" t="s">
        <v>34</v>
      </c>
      <c r="F1841" t="str">
        <f>"0002153"</f>
        <v>0002153</v>
      </c>
      <c r="G1841">
        <v>1</v>
      </c>
      <c r="H1841" t="str">
        <f>"00000000"</f>
        <v>00000000</v>
      </c>
      <c r="I1841" t="s">
        <v>35</v>
      </c>
      <c r="J1841"/>
      <c r="K1841">
        <v>1.69</v>
      </c>
      <c r="L1841">
        <v>0.0</v>
      </c>
      <c r="M1841"/>
      <c r="N1841"/>
      <c r="O1841">
        <v>0.31</v>
      </c>
      <c r="P1841">
        <v>0.0</v>
      </c>
      <c r="Q1841">
        <v>2.0</v>
      </c>
      <c r="R1841"/>
      <c r="S1841"/>
      <c r="T1841"/>
      <c r="U1841"/>
      <c r="V1841"/>
      <c r="W1841">
        <v>18</v>
      </c>
    </row>
    <row r="1842" spans="1:23">
      <c r="A1842"/>
      <c r="B1842" t="s">
        <v>63</v>
      </c>
      <c r="C1842" t="s">
        <v>63</v>
      </c>
      <c r="D1842" t="s">
        <v>33</v>
      </c>
      <c r="E1842" t="s">
        <v>34</v>
      </c>
      <c r="F1842" t="str">
        <f>"0002154"</f>
        <v>0002154</v>
      </c>
      <c r="G1842">
        <v>1</v>
      </c>
      <c r="H1842" t="str">
        <f>"00000000"</f>
        <v>00000000</v>
      </c>
      <c r="I1842" t="s">
        <v>35</v>
      </c>
      <c r="J1842"/>
      <c r="K1842">
        <v>35.53</v>
      </c>
      <c r="L1842">
        <v>0.0</v>
      </c>
      <c r="M1842"/>
      <c r="N1842"/>
      <c r="O1842">
        <v>6.4</v>
      </c>
      <c r="P1842">
        <v>0.2</v>
      </c>
      <c r="Q1842">
        <v>42.13</v>
      </c>
      <c r="R1842"/>
      <c r="S1842"/>
      <c r="T1842"/>
      <c r="U1842"/>
      <c r="V1842"/>
      <c r="W1842">
        <v>18</v>
      </c>
    </row>
    <row r="1843" spans="1:23">
      <c r="A1843"/>
      <c r="B1843" t="s">
        <v>63</v>
      </c>
      <c r="C1843" t="s">
        <v>63</v>
      </c>
      <c r="D1843" t="s">
        <v>33</v>
      </c>
      <c r="E1843" t="s">
        <v>34</v>
      </c>
      <c r="F1843" t="str">
        <f>"0002155"</f>
        <v>0002155</v>
      </c>
      <c r="G1843">
        <v>1</v>
      </c>
      <c r="H1843" t="str">
        <f>"00000000"</f>
        <v>00000000</v>
      </c>
      <c r="I1843" t="s">
        <v>35</v>
      </c>
      <c r="J1843"/>
      <c r="K1843">
        <v>1.02</v>
      </c>
      <c r="L1843">
        <v>0.0</v>
      </c>
      <c r="M1843"/>
      <c r="N1843"/>
      <c r="O1843">
        <v>0.18</v>
      </c>
      <c r="P1843">
        <v>0.0</v>
      </c>
      <c r="Q1843">
        <v>1.2</v>
      </c>
      <c r="R1843"/>
      <c r="S1843"/>
      <c r="T1843"/>
      <c r="U1843"/>
      <c r="V1843"/>
      <c r="W1843">
        <v>18</v>
      </c>
    </row>
    <row r="1844" spans="1:23">
      <c r="A1844"/>
      <c r="B1844" t="s">
        <v>63</v>
      </c>
      <c r="C1844" t="s">
        <v>63</v>
      </c>
      <c r="D1844" t="s">
        <v>33</v>
      </c>
      <c r="E1844" t="s">
        <v>34</v>
      </c>
      <c r="F1844" t="str">
        <f>"0002156"</f>
        <v>0002156</v>
      </c>
      <c r="G1844">
        <v>1</v>
      </c>
      <c r="H1844" t="str">
        <f>"00000000"</f>
        <v>00000000</v>
      </c>
      <c r="I1844" t="s">
        <v>35</v>
      </c>
      <c r="J1844"/>
      <c r="K1844">
        <v>21.3</v>
      </c>
      <c r="L1844">
        <v>0.0</v>
      </c>
      <c r="M1844"/>
      <c r="N1844"/>
      <c r="O1844">
        <v>3.83</v>
      </c>
      <c r="P1844">
        <v>0.2</v>
      </c>
      <c r="Q1844">
        <v>25.33</v>
      </c>
      <c r="R1844"/>
      <c r="S1844"/>
      <c r="T1844"/>
      <c r="U1844"/>
      <c r="V1844"/>
      <c r="W1844">
        <v>18</v>
      </c>
    </row>
    <row r="1845" spans="1:23">
      <c r="A1845"/>
      <c r="B1845" t="s">
        <v>63</v>
      </c>
      <c r="C1845" t="s">
        <v>63</v>
      </c>
      <c r="D1845" t="s">
        <v>33</v>
      </c>
      <c r="E1845" t="s">
        <v>34</v>
      </c>
      <c r="F1845" t="str">
        <f>"0002157"</f>
        <v>0002157</v>
      </c>
      <c r="G1845">
        <v>1</v>
      </c>
      <c r="H1845" t="str">
        <f>"00000000"</f>
        <v>00000000</v>
      </c>
      <c r="I1845" t="s">
        <v>35</v>
      </c>
      <c r="J1845"/>
      <c r="K1845">
        <v>2.97</v>
      </c>
      <c r="L1845">
        <v>0.0</v>
      </c>
      <c r="M1845"/>
      <c r="N1845"/>
      <c r="O1845">
        <v>0.53</v>
      </c>
      <c r="P1845">
        <v>0.0</v>
      </c>
      <c r="Q1845">
        <v>3.5</v>
      </c>
      <c r="R1845"/>
      <c r="S1845"/>
      <c r="T1845"/>
      <c r="U1845"/>
      <c r="V1845"/>
      <c r="W1845">
        <v>18</v>
      </c>
    </row>
    <row r="1846" spans="1:23">
      <c r="A1846"/>
      <c r="B1846" t="s">
        <v>63</v>
      </c>
      <c r="C1846" t="s">
        <v>63</v>
      </c>
      <c r="D1846" t="s">
        <v>33</v>
      </c>
      <c r="E1846" t="s">
        <v>34</v>
      </c>
      <c r="F1846" t="str">
        <f>"0002158"</f>
        <v>0002158</v>
      </c>
      <c r="G1846">
        <v>1</v>
      </c>
      <c r="H1846" t="str">
        <f>"00000000"</f>
        <v>00000000</v>
      </c>
      <c r="I1846" t="s">
        <v>35</v>
      </c>
      <c r="J1846"/>
      <c r="K1846">
        <v>14.36</v>
      </c>
      <c r="L1846">
        <v>0.0</v>
      </c>
      <c r="M1846"/>
      <c r="N1846"/>
      <c r="O1846">
        <v>2.59</v>
      </c>
      <c r="P1846">
        <v>0.2</v>
      </c>
      <c r="Q1846">
        <v>17.15</v>
      </c>
      <c r="R1846"/>
      <c r="S1846"/>
      <c r="T1846"/>
      <c r="U1846"/>
      <c r="V1846"/>
      <c r="W1846">
        <v>18</v>
      </c>
    </row>
    <row r="1847" spans="1:23">
      <c r="A1847"/>
      <c r="B1847" t="s">
        <v>63</v>
      </c>
      <c r="C1847" t="s">
        <v>63</v>
      </c>
      <c r="D1847" t="s">
        <v>33</v>
      </c>
      <c r="E1847" t="s">
        <v>34</v>
      </c>
      <c r="F1847" t="str">
        <f>"0002159"</f>
        <v>0002159</v>
      </c>
      <c r="G1847">
        <v>1</v>
      </c>
      <c r="H1847" t="str">
        <f>"00000000"</f>
        <v>00000000</v>
      </c>
      <c r="I1847" t="s">
        <v>35</v>
      </c>
      <c r="J1847"/>
      <c r="K1847">
        <v>44.6</v>
      </c>
      <c r="L1847">
        <v>0.0</v>
      </c>
      <c r="M1847"/>
      <c r="N1847"/>
      <c r="O1847">
        <v>8.03</v>
      </c>
      <c r="P1847">
        <v>0.2</v>
      </c>
      <c r="Q1847">
        <v>52.83</v>
      </c>
      <c r="R1847"/>
      <c r="S1847"/>
      <c r="T1847"/>
      <c r="U1847"/>
      <c r="V1847"/>
      <c r="W1847">
        <v>18</v>
      </c>
    </row>
    <row r="1848" spans="1:23">
      <c r="A1848"/>
      <c r="B1848" t="s">
        <v>63</v>
      </c>
      <c r="C1848" t="s">
        <v>63</v>
      </c>
      <c r="D1848" t="s">
        <v>33</v>
      </c>
      <c r="E1848" t="s">
        <v>34</v>
      </c>
      <c r="F1848" t="str">
        <f>"0002160"</f>
        <v>0002160</v>
      </c>
      <c r="G1848">
        <v>1</v>
      </c>
      <c r="H1848" t="str">
        <f>"00000000"</f>
        <v>00000000</v>
      </c>
      <c r="I1848" t="s">
        <v>35</v>
      </c>
      <c r="J1848"/>
      <c r="K1848">
        <v>27.6</v>
      </c>
      <c r="L1848">
        <v>0.0</v>
      </c>
      <c r="M1848"/>
      <c r="N1848"/>
      <c r="O1848">
        <v>4.97</v>
      </c>
      <c r="P1848">
        <v>0.2</v>
      </c>
      <c r="Q1848">
        <v>32.77</v>
      </c>
      <c r="R1848"/>
      <c r="S1848"/>
      <c r="T1848"/>
      <c r="U1848"/>
      <c r="V1848"/>
      <c r="W1848">
        <v>18</v>
      </c>
    </row>
    <row r="1849" spans="1:23">
      <c r="A1849"/>
      <c r="B1849" t="s">
        <v>63</v>
      </c>
      <c r="C1849" t="s">
        <v>63</v>
      </c>
      <c r="D1849" t="s">
        <v>33</v>
      </c>
      <c r="E1849" t="s">
        <v>34</v>
      </c>
      <c r="F1849" t="str">
        <f>"0002161"</f>
        <v>0002161</v>
      </c>
      <c r="G1849">
        <v>1</v>
      </c>
      <c r="H1849" t="str">
        <f>"00000000"</f>
        <v>00000000</v>
      </c>
      <c r="I1849" t="s">
        <v>35</v>
      </c>
      <c r="J1849"/>
      <c r="K1849">
        <v>14.12</v>
      </c>
      <c r="L1849">
        <v>0.0</v>
      </c>
      <c r="M1849"/>
      <c r="N1849"/>
      <c r="O1849">
        <v>2.54</v>
      </c>
      <c r="P1849">
        <v>0.2</v>
      </c>
      <c r="Q1849">
        <v>16.86</v>
      </c>
      <c r="R1849"/>
      <c r="S1849"/>
      <c r="T1849"/>
      <c r="U1849"/>
      <c r="V1849"/>
      <c r="W1849">
        <v>18</v>
      </c>
    </row>
    <row r="1850" spans="1:23">
      <c r="A1850"/>
      <c r="B1850" t="s">
        <v>63</v>
      </c>
      <c r="C1850" t="s">
        <v>63</v>
      </c>
      <c r="D1850" t="s">
        <v>33</v>
      </c>
      <c r="E1850" t="s">
        <v>34</v>
      </c>
      <c r="F1850" t="str">
        <f>"0002162"</f>
        <v>0002162</v>
      </c>
      <c r="G1850">
        <v>1</v>
      </c>
      <c r="H1850" t="str">
        <f>"00000000"</f>
        <v>00000000</v>
      </c>
      <c r="I1850" t="s">
        <v>35</v>
      </c>
      <c r="J1850"/>
      <c r="K1850">
        <v>21.39</v>
      </c>
      <c r="L1850">
        <v>0.0</v>
      </c>
      <c r="M1850"/>
      <c r="N1850"/>
      <c r="O1850">
        <v>3.85</v>
      </c>
      <c r="P1850">
        <v>0.2</v>
      </c>
      <c r="Q1850">
        <v>25.45</v>
      </c>
      <c r="R1850"/>
      <c r="S1850"/>
      <c r="T1850"/>
      <c r="U1850"/>
      <c r="V1850"/>
      <c r="W1850">
        <v>18</v>
      </c>
    </row>
    <row r="1851" spans="1:23">
      <c r="A1851"/>
      <c r="B1851" t="s">
        <v>63</v>
      </c>
      <c r="C1851" t="s">
        <v>63</v>
      </c>
      <c r="D1851" t="s">
        <v>33</v>
      </c>
      <c r="E1851" t="s">
        <v>34</v>
      </c>
      <c r="F1851" t="str">
        <f>"0002163"</f>
        <v>0002163</v>
      </c>
      <c r="G1851">
        <v>1</v>
      </c>
      <c r="H1851" t="str">
        <f>"00000000"</f>
        <v>00000000</v>
      </c>
      <c r="I1851" t="s">
        <v>35</v>
      </c>
      <c r="J1851"/>
      <c r="K1851">
        <v>1.88</v>
      </c>
      <c r="L1851">
        <v>0.0</v>
      </c>
      <c r="M1851"/>
      <c r="N1851"/>
      <c r="O1851">
        <v>0.34</v>
      </c>
      <c r="P1851">
        <v>0.0</v>
      </c>
      <c r="Q1851">
        <v>2.22</v>
      </c>
      <c r="R1851"/>
      <c r="S1851"/>
      <c r="T1851"/>
      <c r="U1851"/>
      <c r="V1851"/>
      <c r="W1851">
        <v>18</v>
      </c>
    </row>
    <row r="1852" spans="1:23">
      <c r="A1852"/>
      <c r="B1852" t="s">
        <v>63</v>
      </c>
      <c r="C1852" t="s">
        <v>63</v>
      </c>
      <c r="D1852" t="s">
        <v>33</v>
      </c>
      <c r="E1852" t="s">
        <v>34</v>
      </c>
      <c r="F1852" t="str">
        <f>"0002164"</f>
        <v>0002164</v>
      </c>
      <c r="G1852">
        <v>1</v>
      </c>
      <c r="H1852" t="str">
        <f>"00000000"</f>
        <v>00000000</v>
      </c>
      <c r="I1852" t="s">
        <v>35</v>
      </c>
      <c r="J1852"/>
      <c r="K1852">
        <v>37.93</v>
      </c>
      <c r="L1852">
        <v>0.0</v>
      </c>
      <c r="M1852"/>
      <c r="N1852"/>
      <c r="O1852">
        <v>6.83</v>
      </c>
      <c r="P1852">
        <v>0.4</v>
      </c>
      <c r="Q1852">
        <v>45.16</v>
      </c>
      <c r="R1852"/>
      <c r="S1852"/>
      <c r="T1852"/>
      <c r="U1852"/>
      <c r="V1852"/>
      <c r="W1852">
        <v>18</v>
      </c>
    </row>
    <row r="1853" spans="1:23">
      <c r="A1853"/>
      <c r="B1853" t="s">
        <v>63</v>
      </c>
      <c r="C1853" t="s">
        <v>63</v>
      </c>
      <c r="D1853" t="s">
        <v>33</v>
      </c>
      <c r="E1853" t="s">
        <v>34</v>
      </c>
      <c r="F1853" t="str">
        <f>"0002165"</f>
        <v>0002165</v>
      </c>
      <c r="G1853">
        <v>1</v>
      </c>
      <c r="H1853" t="str">
        <f>"00000000"</f>
        <v>00000000</v>
      </c>
      <c r="I1853" t="s">
        <v>35</v>
      </c>
      <c r="J1853"/>
      <c r="K1853">
        <v>19.49</v>
      </c>
      <c r="L1853">
        <v>0.0</v>
      </c>
      <c r="M1853"/>
      <c r="N1853"/>
      <c r="O1853">
        <v>3.51</v>
      </c>
      <c r="P1853">
        <v>0.2</v>
      </c>
      <c r="Q1853">
        <v>23.2</v>
      </c>
      <c r="R1853"/>
      <c r="S1853"/>
      <c r="T1853"/>
      <c r="U1853"/>
      <c r="V1853"/>
      <c r="W1853">
        <v>18</v>
      </c>
    </row>
    <row r="1854" spans="1:23">
      <c r="A1854"/>
      <c r="B1854" t="s">
        <v>63</v>
      </c>
      <c r="C1854" t="s">
        <v>63</v>
      </c>
      <c r="D1854" t="s">
        <v>33</v>
      </c>
      <c r="E1854" t="s">
        <v>34</v>
      </c>
      <c r="F1854" t="str">
        <f>"0002166"</f>
        <v>0002166</v>
      </c>
      <c r="G1854">
        <v>1</v>
      </c>
      <c r="H1854" t="str">
        <f>"00000000"</f>
        <v>00000000</v>
      </c>
      <c r="I1854" t="s">
        <v>35</v>
      </c>
      <c r="J1854"/>
      <c r="K1854">
        <v>13.56</v>
      </c>
      <c r="L1854">
        <v>0.0</v>
      </c>
      <c r="M1854"/>
      <c r="N1854"/>
      <c r="O1854">
        <v>2.44</v>
      </c>
      <c r="P1854">
        <v>0.0</v>
      </c>
      <c r="Q1854">
        <v>16.0</v>
      </c>
      <c r="R1854"/>
      <c r="S1854"/>
      <c r="T1854"/>
      <c r="U1854"/>
      <c r="V1854"/>
      <c r="W1854">
        <v>18</v>
      </c>
    </row>
    <row r="1855" spans="1:23">
      <c r="A1855"/>
      <c r="B1855" t="s">
        <v>63</v>
      </c>
      <c r="C1855" t="s">
        <v>63</v>
      </c>
      <c r="D1855" t="s">
        <v>33</v>
      </c>
      <c r="E1855" t="s">
        <v>34</v>
      </c>
      <c r="F1855" t="str">
        <f>"0002167"</f>
        <v>0002167</v>
      </c>
      <c r="G1855">
        <v>1</v>
      </c>
      <c r="H1855" t="str">
        <f>"00000000"</f>
        <v>00000000</v>
      </c>
      <c r="I1855" t="s">
        <v>35</v>
      </c>
      <c r="J1855"/>
      <c r="K1855">
        <v>5.03</v>
      </c>
      <c r="L1855">
        <v>0.0</v>
      </c>
      <c r="M1855"/>
      <c r="N1855"/>
      <c r="O1855">
        <v>0.9</v>
      </c>
      <c r="P1855">
        <v>0.0</v>
      </c>
      <c r="Q1855">
        <v>5.93</v>
      </c>
      <c r="R1855"/>
      <c r="S1855"/>
      <c r="T1855"/>
      <c r="U1855"/>
      <c r="V1855"/>
      <c r="W1855">
        <v>18</v>
      </c>
    </row>
    <row r="1856" spans="1:23">
      <c r="A1856"/>
      <c r="B1856" t="s">
        <v>63</v>
      </c>
      <c r="C1856" t="s">
        <v>63</v>
      </c>
      <c r="D1856" t="s">
        <v>33</v>
      </c>
      <c r="E1856" t="s">
        <v>34</v>
      </c>
      <c r="F1856" t="str">
        <f>"0002168"</f>
        <v>0002168</v>
      </c>
      <c r="G1856">
        <v>1</v>
      </c>
      <c r="H1856" t="str">
        <f>"00000000"</f>
        <v>00000000</v>
      </c>
      <c r="I1856" t="s">
        <v>35</v>
      </c>
      <c r="J1856"/>
      <c r="K1856">
        <v>21.36</v>
      </c>
      <c r="L1856">
        <v>0.0</v>
      </c>
      <c r="M1856"/>
      <c r="N1856"/>
      <c r="O1856">
        <v>3.85</v>
      </c>
      <c r="P1856">
        <v>0.2</v>
      </c>
      <c r="Q1856">
        <v>25.41</v>
      </c>
      <c r="R1856"/>
      <c r="S1856"/>
      <c r="T1856"/>
      <c r="U1856"/>
      <c r="V1856"/>
      <c r="W1856">
        <v>18</v>
      </c>
    </row>
    <row r="1857" spans="1:23">
      <c r="A1857"/>
      <c r="B1857" t="s">
        <v>63</v>
      </c>
      <c r="C1857" t="s">
        <v>63</v>
      </c>
      <c r="D1857" t="s">
        <v>33</v>
      </c>
      <c r="E1857" t="s">
        <v>34</v>
      </c>
      <c r="F1857" t="str">
        <f>"0002169"</f>
        <v>0002169</v>
      </c>
      <c r="G1857">
        <v>1</v>
      </c>
      <c r="H1857" t="str">
        <f>"00000000"</f>
        <v>00000000</v>
      </c>
      <c r="I1857" t="s">
        <v>35</v>
      </c>
      <c r="J1857"/>
      <c r="K1857">
        <v>7.71</v>
      </c>
      <c r="L1857">
        <v>0.0</v>
      </c>
      <c r="M1857"/>
      <c r="N1857"/>
      <c r="O1857">
        <v>1.39</v>
      </c>
      <c r="P1857">
        <v>0.2</v>
      </c>
      <c r="Q1857">
        <v>9.3</v>
      </c>
      <c r="R1857"/>
      <c r="S1857"/>
      <c r="T1857"/>
      <c r="U1857"/>
      <c r="V1857"/>
      <c r="W1857">
        <v>18</v>
      </c>
    </row>
    <row r="1858" spans="1:23">
      <c r="A1858"/>
      <c r="B1858" t="s">
        <v>63</v>
      </c>
      <c r="C1858" t="s">
        <v>63</v>
      </c>
      <c r="D1858" t="s">
        <v>33</v>
      </c>
      <c r="E1858" t="s">
        <v>34</v>
      </c>
      <c r="F1858" t="str">
        <f>"0002170"</f>
        <v>0002170</v>
      </c>
      <c r="G1858">
        <v>1</v>
      </c>
      <c r="H1858" t="str">
        <f>"00000000"</f>
        <v>00000000</v>
      </c>
      <c r="I1858" t="s">
        <v>35</v>
      </c>
      <c r="J1858"/>
      <c r="K1858">
        <v>14.16</v>
      </c>
      <c r="L1858">
        <v>0.0</v>
      </c>
      <c r="M1858"/>
      <c r="N1858"/>
      <c r="O1858">
        <v>2.55</v>
      </c>
      <c r="P1858">
        <v>0.2</v>
      </c>
      <c r="Q1858">
        <v>16.91</v>
      </c>
      <c r="R1858"/>
      <c r="S1858"/>
      <c r="T1858"/>
      <c r="U1858"/>
      <c r="V1858"/>
      <c r="W1858">
        <v>18</v>
      </c>
    </row>
    <row r="1859" spans="1:23">
      <c r="A1859"/>
      <c r="B1859" t="s">
        <v>63</v>
      </c>
      <c r="C1859" t="s">
        <v>63</v>
      </c>
      <c r="D1859" t="s">
        <v>33</v>
      </c>
      <c r="E1859" t="s">
        <v>34</v>
      </c>
      <c r="F1859" t="str">
        <f>"0002171"</f>
        <v>0002171</v>
      </c>
      <c r="G1859">
        <v>1</v>
      </c>
      <c r="H1859" t="str">
        <f>"00000000"</f>
        <v>00000000</v>
      </c>
      <c r="I1859" t="s">
        <v>35</v>
      </c>
      <c r="J1859"/>
      <c r="K1859">
        <v>85.25</v>
      </c>
      <c r="L1859">
        <v>0.0</v>
      </c>
      <c r="M1859"/>
      <c r="N1859"/>
      <c r="O1859">
        <v>15.35</v>
      </c>
      <c r="P1859">
        <v>0.4</v>
      </c>
      <c r="Q1859">
        <v>101.0</v>
      </c>
      <c r="R1859"/>
      <c r="S1859"/>
      <c r="T1859"/>
      <c r="U1859"/>
      <c r="V1859"/>
      <c r="W1859">
        <v>18</v>
      </c>
    </row>
    <row r="1860" spans="1:23">
      <c r="A1860"/>
      <c r="B1860" t="s">
        <v>63</v>
      </c>
      <c r="C1860" t="s">
        <v>63</v>
      </c>
      <c r="D1860" t="s">
        <v>33</v>
      </c>
      <c r="E1860" t="s">
        <v>34</v>
      </c>
      <c r="F1860" t="str">
        <f>"0002172"</f>
        <v>0002172</v>
      </c>
      <c r="G1860">
        <v>1</v>
      </c>
      <c r="H1860" t="str">
        <f>"00000000"</f>
        <v>00000000</v>
      </c>
      <c r="I1860" t="s">
        <v>35</v>
      </c>
      <c r="J1860"/>
      <c r="K1860">
        <v>36.44</v>
      </c>
      <c r="L1860">
        <v>0.0</v>
      </c>
      <c r="M1860"/>
      <c r="N1860"/>
      <c r="O1860">
        <v>6.56</v>
      </c>
      <c r="P1860">
        <v>0.2</v>
      </c>
      <c r="Q1860">
        <v>43.2</v>
      </c>
      <c r="R1860"/>
      <c r="S1860"/>
      <c r="T1860"/>
      <c r="U1860"/>
      <c r="V1860"/>
      <c r="W1860">
        <v>18</v>
      </c>
    </row>
    <row r="1861" spans="1:23">
      <c r="A1861"/>
      <c r="B1861" t="s">
        <v>63</v>
      </c>
      <c r="C1861" t="s">
        <v>63</v>
      </c>
      <c r="D1861" t="s">
        <v>33</v>
      </c>
      <c r="E1861" t="s">
        <v>34</v>
      </c>
      <c r="F1861" t="str">
        <f>"0002173"</f>
        <v>0002173</v>
      </c>
      <c r="G1861">
        <v>1</v>
      </c>
      <c r="H1861" t="str">
        <f>"00000000"</f>
        <v>00000000</v>
      </c>
      <c r="I1861" t="s">
        <v>35</v>
      </c>
      <c r="J1861"/>
      <c r="K1861">
        <v>8.33</v>
      </c>
      <c r="L1861">
        <v>0.0</v>
      </c>
      <c r="M1861"/>
      <c r="N1861"/>
      <c r="O1861">
        <v>1.5</v>
      </c>
      <c r="P1861">
        <v>0.2</v>
      </c>
      <c r="Q1861">
        <v>10.03</v>
      </c>
      <c r="R1861"/>
      <c r="S1861"/>
      <c r="T1861"/>
      <c r="U1861"/>
      <c r="V1861"/>
      <c r="W1861">
        <v>18</v>
      </c>
    </row>
    <row r="1862" spans="1:23">
      <c r="A1862"/>
      <c r="B1862" t="s">
        <v>63</v>
      </c>
      <c r="C1862" t="s">
        <v>63</v>
      </c>
      <c r="D1862" t="s">
        <v>33</v>
      </c>
      <c r="E1862" t="s">
        <v>34</v>
      </c>
      <c r="F1862" t="str">
        <f>"0002174"</f>
        <v>0002174</v>
      </c>
      <c r="G1862">
        <v>1</v>
      </c>
      <c r="H1862" t="str">
        <f>"00000000"</f>
        <v>00000000</v>
      </c>
      <c r="I1862" t="s">
        <v>35</v>
      </c>
      <c r="J1862"/>
      <c r="K1862">
        <v>4.57</v>
      </c>
      <c r="L1862">
        <v>0.0</v>
      </c>
      <c r="M1862"/>
      <c r="N1862"/>
      <c r="O1862">
        <v>0.82</v>
      </c>
      <c r="P1862">
        <v>0.0</v>
      </c>
      <c r="Q1862">
        <v>5.39</v>
      </c>
      <c r="R1862"/>
      <c r="S1862"/>
      <c r="T1862"/>
      <c r="U1862"/>
      <c r="V1862"/>
      <c r="W1862">
        <v>18</v>
      </c>
    </row>
    <row r="1863" spans="1:23">
      <c r="A1863"/>
      <c r="B1863" t="s">
        <v>63</v>
      </c>
      <c r="C1863" t="s">
        <v>63</v>
      </c>
      <c r="D1863" t="s">
        <v>33</v>
      </c>
      <c r="E1863" t="s">
        <v>34</v>
      </c>
      <c r="F1863" t="str">
        <f>"0002175"</f>
        <v>0002175</v>
      </c>
      <c r="G1863">
        <v>1</v>
      </c>
      <c r="H1863" t="str">
        <f>"00000000"</f>
        <v>00000000</v>
      </c>
      <c r="I1863" t="s">
        <v>35</v>
      </c>
      <c r="J1863"/>
      <c r="K1863">
        <v>30.38</v>
      </c>
      <c r="L1863">
        <v>0.0</v>
      </c>
      <c r="M1863"/>
      <c r="N1863"/>
      <c r="O1863">
        <v>5.47</v>
      </c>
      <c r="P1863">
        <v>0.2</v>
      </c>
      <c r="Q1863">
        <v>36.05</v>
      </c>
      <c r="R1863"/>
      <c r="S1863"/>
      <c r="T1863"/>
      <c r="U1863"/>
      <c r="V1863"/>
      <c r="W1863">
        <v>18</v>
      </c>
    </row>
    <row r="1864" spans="1:23">
      <c r="A1864"/>
      <c r="B1864" t="s">
        <v>63</v>
      </c>
      <c r="C1864" t="s">
        <v>63</v>
      </c>
      <c r="D1864" t="s">
        <v>33</v>
      </c>
      <c r="E1864" t="s">
        <v>34</v>
      </c>
      <c r="F1864" t="str">
        <f>"0002176"</f>
        <v>0002176</v>
      </c>
      <c r="G1864">
        <v>1</v>
      </c>
      <c r="H1864" t="str">
        <f>"00000000"</f>
        <v>00000000</v>
      </c>
      <c r="I1864" t="s">
        <v>35</v>
      </c>
      <c r="J1864"/>
      <c r="K1864">
        <v>3.69</v>
      </c>
      <c r="L1864">
        <v>0.0</v>
      </c>
      <c r="M1864"/>
      <c r="N1864"/>
      <c r="O1864">
        <v>0.66</v>
      </c>
      <c r="P1864">
        <v>0.0</v>
      </c>
      <c r="Q1864">
        <v>4.35</v>
      </c>
      <c r="R1864"/>
      <c r="S1864"/>
      <c r="T1864"/>
      <c r="U1864"/>
      <c r="V1864"/>
      <c r="W1864">
        <v>18</v>
      </c>
    </row>
    <row r="1865" spans="1:23">
      <c r="A1865"/>
      <c r="B1865" t="s">
        <v>63</v>
      </c>
      <c r="C1865" t="s">
        <v>63</v>
      </c>
      <c r="D1865" t="s">
        <v>33</v>
      </c>
      <c r="E1865" t="s">
        <v>34</v>
      </c>
      <c r="F1865" t="str">
        <f>"0002177"</f>
        <v>0002177</v>
      </c>
      <c r="G1865">
        <v>1</v>
      </c>
      <c r="H1865" t="str">
        <f>"00000000"</f>
        <v>00000000</v>
      </c>
      <c r="I1865" t="s">
        <v>35</v>
      </c>
      <c r="J1865"/>
      <c r="K1865">
        <v>4.24</v>
      </c>
      <c r="L1865">
        <v>0.0</v>
      </c>
      <c r="M1865"/>
      <c r="N1865"/>
      <c r="O1865">
        <v>0.76</v>
      </c>
      <c r="P1865">
        <v>0.0</v>
      </c>
      <c r="Q1865">
        <v>5.0</v>
      </c>
      <c r="R1865"/>
      <c r="S1865"/>
      <c r="T1865"/>
      <c r="U1865"/>
      <c r="V1865"/>
      <c r="W1865">
        <v>18</v>
      </c>
    </row>
    <row r="1866" spans="1:23">
      <c r="A1866"/>
      <c r="B1866" t="s">
        <v>63</v>
      </c>
      <c r="C1866" t="s">
        <v>63</v>
      </c>
      <c r="D1866" t="s">
        <v>33</v>
      </c>
      <c r="E1866" t="s">
        <v>34</v>
      </c>
      <c r="F1866" t="str">
        <f>"0002178"</f>
        <v>0002178</v>
      </c>
      <c r="G1866">
        <v>1</v>
      </c>
      <c r="H1866" t="str">
        <f>"00000000"</f>
        <v>00000000</v>
      </c>
      <c r="I1866" t="s">
        <v>35</v>
      </c>
      <c r="J1866"/>
      <c r="K1866">
        <v>2.54</v>
      </c>
      <c r="L1866">
        <v>0.0</v>
      </c>
      <c r="M1866"/>
      <c r="N1866"/>
      <c r="O1866">
        <v>0.46</v>
      </c>
      <c r="P1866">
        <v>0.0</v>
      </c>
      <c r="Q1866">
        <v>3.0</v>
      </c>
      <c r="R1866"/>
      <c r="S1866"/>
      <c r="T1866"/>
      <c r="U1866"/>
      <c r="V1866"/>
      <c r="W1866">
        <v>18</v>
      </c>
    </row>
    <row r="1867" spans="1:23">
      <c r="A1867"/>
      <c r="B1867" t="s">
        <v>63</v>
      </c>
      <c r="C1867" t="s">
        <v>63</v>
      </c>
      <c r="D1867" t="s">
        <v>33</v>
      </c>
      <c r="E1867" t="s">
        <v>34</v>
      </c>
      <c r="F1867" t="str">
        <f>"0002179"</f>
        <v>0002179</v>
      </c>
      <c r="G1867">
        <v>1</v>
      </c>
      <c r="H1867" t="str">
        <f>"00000000"</f>
        <v>00000000</v>
      </c>
      <c r="I1867" t="s">
        <v>35</v>
      </c>
      <c r="J1867"/>
      <c r="K1867">
        <v>44.83</v>
      </c>
      <c r="L1867">
        <v>0.0</v>
      </c>
      <c r="M1867"/>
      <c r="N1867"/>
      <c r="O1867">
        <v>8.07</v>
      </c>
      <c r="P1867">
        <v>0.2</v>
      </c>
      <c r="Q1867">
        <v>53.1</v>
      </c>
      <c r="R1867"/>
      <c r="S1867"/>
      <c r="T1867"/>
      <c r="U1867"/>
      <c r="V1867"/>
      <c r="W1867">
        <v>18</v>
      </c>
    </row>
    <row r="1868" spans="1:23">
      <c r="A1868"/>
      <c r="B1868" t="s">
        <v>63</v>
      </c>
      <c r="C1868" t="s">
        <v>63</v>
      </c>
      <c r="D1868" t="s">
        <v>33</v>
      </c>
      <c r="E1868" t="s">
        <v>34</v>
      </c>
      <c r="F1868" t="str">
        <f>"0002180"</f>
        <v>0002180</v>
      </c>
      <c r="G1868">
        <v>1</v>
      </c>
      <c r="H1868" t="str">
        <f>"00000000"</f>
        <v>00000000</v>
      </c>
      <c r="I1868" t="s">
        <v>35</v>
      </c>
      <c r="J1868"/>
      <c r="K1868">
        <v>12.78</v>
      </c>
      <c r="L1868">
        <v>0.0</v>
      </c>
      <c r="M1868"/>
      <c r="N1868"/>
      <c r="O1868">
        <v>2.3</v>
      </c>
      <c r="P1868">
        <v>0.4</v>
      </c>
      <c r="Q1868">
        <v>15.48</v>
      </c>
      <c r="R1868"/>
      <c r="S1868"/>
      <c r="T1868"/>
      <c r="U1868"/>
      <c r="V1868"/>
      <c r="W1868">
        <v>18</v>
      </c>
    </row>
    <row r="1869" spans="1:23">
      <c r="A1869"/>
      <c r="B1869" t="s">
        <v>63</v>
      </c>
      <c r="C1869" t="s">
        <v>63</v>
      </c>
      <c r="D1869" t="s">
        <v>33</v>
      </c>
      <c r="E1869" t="s">
        <v>34</v>
      </c>
      <c r="F1869" t="str">
        <f>"0002181"</f>
        <v>0002181</v>
      </c>
      <c r="G1869">
        <v>1</v>
      </c>
      <c r="H1869" t="str">
        <f>"00000000"</f>
        <v>00000000</v>
      </c>
      <c r="I1869" t="s">
        <v>35</v>
      </c>
      <c r="J1869"/>
      <c r="K1869">
        <v>47.26</v>
      </c>
      <c r="L1869">
        <v>0.0</v>
      </c>
      <c r="M1869"/>
      <c r="N1869"/>
      <c r="O1869">
        <v>8.51</v>
      </c>
      <c r="P1869">
        <v>0.2</v>
      </c>
      <c r="Q1869">
        <v>55.96</v>
      </c>
      <c r="R1869"/>
      <c r="S1869"/>
      <c r="T1869"/>
      <c r="U1869"/>
      <c r="V1869"/>
      <c r="W1869">
        <v>18</v>
      </c>
    </row>
    <row r="1870" spans="1:23">
      <c r="A1870"/>
      <c r="B1870" t="s">
        <v>63</v>
      </c>
      <c r="C1870" t="s">
        <v>63</v>
      </c>
      <c r="D1870" t="s">
        <v>33</v>
      </c>
      <c r="E1870" t="s">
        <v>34</v>
      </c>
      <c r="F1870" t="str">
        <f>"0002182"</f>
        <v>0002182</v>
      </c>
      <c r="G1870">
        <v>1</v>
      </c>
      <c r="H1870" t="str">
        <f>"00000000"</f>
        <v>00000000</v>
      </c>
      <c r="I1870" t="s">
        <v>35</v>
      </c>
      <c r="J1870"/>
      <c r="K1870">
        <v>4.66</v>
      </c>
      <c r="L1870">
        <v>0.0</v>
      </c>
      <c r="M1870"/>
      <c r="N1870"/>
      <c r="O1870">
        <v>0.84</v>
      </c>
      <c r="P1870">
        <v>0.0</v>
      </c>
      <c r="Q1870">
        <v>5.5</v>
      </c>
      <c r="R1870"/>
      <c r="S1870"/>
      <c r="T1870"/>
      <c r="U1870"/>
      <c r="V1870"/>
      <c r="W1870">
        <v>18</v>
      </c>
    </row>
    <row r="1871" spans="1:23">
      <c r="A1871"/>
      <c r="B1871" t="s">
        <v>63</v>
      </c>
      <c r="C1871" t="s">
        <v>63</v>
      </c>
      <c r="D1871" t="s">
        <v>33</v>
      </c>
      <c r="E1871" t="s">
        <v>34</v>
      </c>
      <c r="F1871" t="str">
        <f>"0002183"</f>
        <v>0002183</v>
      </c>
      <c r="G1871">
        <v>1</v>
      </c>
      <c r="H1871" t="str">
        <f>"00000000"</f>
        <v>00000000</v>
      </c>
      <c r="I1871" t="s">
        <v>35</v>
      </c>
      <c r="J1871"/>
      <c r="K1871">
        <v>1.27</v>
      </c>
      <c r="L1871">
        <v>0.0</v>
      </c>
      <c r="M1871"/>
      <c r="N1871"/>
      <c r="O1871">
        <v>0.23</v>
      </c>
      <c r="P1871">
        <v>0.0</v>
      </c>
      <c r="Q1871">
        <v>1.5</v>
      </c>
      <c r="R1871"/>
      <c r="S1871"/>
      <c r="T1871"/>
      <c r="U1871"/>
      <c r="V1871"/>
      <c r="W1871">
        <v>18</v>
      </c>
    </row>
    <row r="1872" spans="1:23">
      <c r="A1872"/>
      <c r="B1872" t="s">
        <v>63</v>
      </c>
      <c r="C1872" t="s">
        <v>63</v>
      </c>
      <c r="D1872" t="s">
        <v>33</v>
      </c>
      <c r="E1872" t="s">
        <v>34</v>
      </c>
      <c r="F1872" t="str">
        <f>"0002184"</f>
        <v>0002184</v>
      </c>
      <c r="G1872">
        <v>1</v>
      </c>
      <c r="H1872" t="str">
        <f>"00000000"</f>
        <v>00000000</v>
      </c>
      <c r="I1872" t="s">
        <v>35</v>
      </c>
      <c r="J1872"/>
      <c r="K1872">
        <v>10.51</v>
      </c>
      <c r="L1872">
        <v>0.0</v>
      </c>
      <c r="M1872"/>
      <c r="N1872"/>
      <c r="O1872">
        <v>1.89</v>
      </c>
      <c r="P1872">
        <v>0.2</v>
      </c>
      <c r="Q1872">
        <v>12.6</v>
      </c>
      <c r="R1872"/>
      <c r="S1872"/>
      <c r="T1872"/>
      <c r="U1872"/>
      <c r="V1872"/>
      <c r="W1872">
        <v>18</v>
      </c>
    </row>
    <row r="1873" spans="1:23">
      <c r="A1873"/>
      <c r="B1873" t="s">
        <v>63</v>
      </c>
      <c r="C1873" t="s">
        <v>63</v>
      </c>
      <c r="D1873" t="s">
        <v>33</v>
      </c>
      <c r="E1873" t="s">
        <v>34</v>
      </c>
      <c r="F1873" t="str">
        <f>"0002185"</f>
        <v>0002185</v>
      </c>
      <c r="G1873">
        <v>1</v>
      </c>
      <c r="H1873" t="str">
        <f>"00000000"</f>
        <v>00000000</v>
      </c>
      <c r="I1873" t="s">
        <v>35</v>
      </c>
      <c r="J1873"/>
      <c r="K1873">
        <v>89.31</v>
      </c>
      <c r="L1873">
        <v>0.0</v>
      </c>
      <c r="M1873"/>
      <c r="N1873"/>
      <c r="O1873">
        <v>16.08</v>
      </c>
      <c r="P1873">
        <v>0.4</v>
      </c>
      <c r="Q1873">
        <v>105.79</v>
      </c>
      <c r="R1873"/>
      <c r="S1873"/>
      <c r="T1873"/>
      <c r="U1873"/>
      <c r="V1873"/>
      <c r="W1873">
        <v>18</v>
      </c>
    </row>
    <row r="1874" spans="1:23">
      <c r="A1874"/>
      <c r="B1874" t="s">
        <v>63</v>
      </c>
      <c r="C1874" t="s">
        <v>63</v>
      </c>
      <c r="D1874" t="s">
        <v>33</v>
      </c>
      <c r="E1874" t="s">
        <v>34</v>
      </c>
      <c r="F1874" t="str">
        <f>"0002186"</f>
        <v>0002186</v>
      </c>
      <c r="G1874">
        <v>1</v>
      </c>
      <c r="H1874" t="str">
        <f>"00000000"</f>
        <v>00000000</v>
      </c>
      <c r="I1874" t="s">
        <v>35</v>
      </c>
      <c r="J1874"/>
      <c r="K1874">
        <v>42.71</v>
      </c>
      <c r="L1874">
        <v>0.0</v>
      </c>
      <c r="M1874"/>
      <c r="N1874"/>
      <c r="O1874">
        <v>7.69</v>
      </c>
      <c r="P1874">
        <v>0.2</v>
      </c>
      <c r="Q1874">
        <v>50.6</v>
      </c>
      <c r="R1874"/>
      <c r="S1874"/>
      <c r="T1874"/>
      <c r="U1874"/>
      <c r="V1874"/>
      <c r="W1874">
        <v>18</v>
      </c>
    </row>
    <row r="1875" spans="1:23">
      <c r="A1875"/>
      <c r="B1875" t="s">
        <v>63</v>
      </c>
      <c r="C1875" t="s">
        <v>63</v>
      </c>
      <c r="D1875" t="s">
        <v>33</v>
      </c>
      <c r="E1875" t="s">
        <v>34</v>
      </c>
      <c r="F1875" t="str">
        <f>"0002187"</f>
        <v>0002187</v>
      </c>
      <c r="G1875">
        <v>1</v>
      </c>
      <c r="H1875" t="str">
        <f>"00000000"</f>
        <v>00000000</v>
      </c>
      <c r="I1875" t="s">
        <v>35</v>
      </c>
      <c r="J1875"/>
      <c r="K1875">
        <v>55.82</v>
      </c>
      <c r="L1875">
        <v>0.0</v>
      </c>
      <c r="M1875"/>
      <c r="N1875"/>
      <c r="O1875">
        <v>10.05</v>
      </c>
      <c r="P1875">
        <v>0.4</v>
      </c>
      <c r="Q1875">
        <v>66.27</v>
      </c>
      <c r="R1875"/>
      <c r="S1875"/>
      <c r="T1875"/>
      <c r="U1875"/>
      <c r="V1875"/>
      <c r="W1875">
        <v>18</v>
      </c>
    </row>
    <row r="1876" spans="1:23">
      <c r="A1876"/>
      <c r="B1876" t="s">
        <v>63</v>
      </c>
      <c r="C1876" t="s">
        <v>63</v>
      </c>
      <c r="D1876" t="s">
        <v>33</v>
      </c>
      <c r="E1876" t="s">
        <v>34</v>
      </c>
      <c r="F1876" t="str">
        <f>"0002188"</f>
        <v>0002188</v>
      </c>
      <c r="G1876">
        <v>1</v>
      </c>
      <c r="H1876" t="str">
        <f>"00000000"</f>
        <v>00000000</v>
      </c>
      <c r="I1876" t="s">
        <v>35</v>
      </c>
      <c r="J1876"/>
      <c r="K1876">
        <v>50.03</v>
      </c>
      <c r="L1876">
        <v>0.0</v>
      </c>
      <c r="M1876"/>
      <c r="N1876"/>
      <c r="O1876">
        <v>9.0</v>
      </c>
      <c r="P1876">
        <v>0.4</v>
      </c>
      <c r="Q1876">
        <v>59.43</v>
      </c>
      <c r="R1876"/>
      <c r="S1876"/>
      <c r="T1876"/>
      <c r="U1876"/>
      <c r="V1876"/>
      <c r="W1876">
        <v>18</v>
      </c>
    </row>
    <row r="1877" spans="1:23">
      <c r="A1877"/>
      <c r="B1877" t="s">
        <v>63</v>
      </c>
      <c r="C1877" t="s">
        <v>63</v>
      </c>
      <c r="D1877" t="s">
        <v>33</v>
      </c>
      <c r="E1877" t="s">
        <v>34</v>
      </c>
      <c r="F1877" t="str">
        <f>"0002189"</f>
        <v>0002189</v>
      </c>
      <c r="G1877">
        <v>1</v>
      </c>
      <c r="H1877" t="str">
        <f>"00000000"</f>
        <v>00000000</v>
      </c>
      <c r="I1877" t="s">
        <v>35</v>
      </c>
      <c r="J1877"/>
      <c r="K1877">
        <v>71.73</v>
      </c>
      <c r="L1877">
        <v>0.0</v>
      </c>
      <c r="M1877"/>
      <c r="N1877"/>
      <c r="O1877">
        <v>12.91</v>
      </c>
      <c r="P1877">
        <v>0.4</v>
      </c>
      <c r="Q1877">
        <v>85.04</v>
      </c>
      <c r="R1877"/>
      <c r="S1877"/>
      <c r="T1877"/>
      <c r="U1877"/>
      <c r="V1877"/>
      <c r="W1877">
        <v>18</v>
      </c>
    </row>
    <row r="1878" spans="1:23">
      <c r="A1878"/>
      <c r="B1878" t="s">
        <v>63</v>
      </c>
      <c r="C1878" t="s">
        <v>63</v>
      </c>
      <c r="D1878" t="s">
        <v>33</v>
      </c>
      <c r="E1878" t="s">
        <v>34</v>
      </c>
      <c r="F1878" t="str">
        <f>"0002190"</f>
        <v>0002190</v>
      </c>
      <c r="G1878">
        <v>1</v>
      </c>
      <c r="H1878" t="str">
        <f>"00000000"</f>
        <v>00000000</v>
      </c>
      <c r="I1878" t="s">
        <v>35</v>
      </c>
      <c r="J1878"/>
      <c r="K1878">
        <v>56.49</v>
      </c>
      <c r="L1878">
        <v>0.0</v>
      </c>
      <c r="M1878"/>
      <c r="N1878"/>
      <c r="O1878">
        <v>10.17</v>
      </c>
      <c r="P1878">
        <v>0.0</v>
      </c>
      <c r="Q1878">
        <v>66.66</v>
      </c>
      <c r="R1878"/>
      <c r="S1878"/>
      <c r="T1878"/>
      <c r="U1878"/>
      <c r="V1878"/>
      <c r="W1878">
        <v>18</v>
      </c>
    </row>
    <row r="1879" spans="1:23">
      <c r="A1879"/>
      <c r="B1879" t="s">
        <v>63</v>
      </c>
      <c r="C1879" t="s">
        <v>63</v>
      </c>
      <c r="D1879" t="s">
        <v>33</v>
      </c>
      <c r="E1879" t="s">
        <v>34</v>
      </c>
      <c r="F1879" t="str">
        <f>"0002191"</f>
        <v>0002191</v>
      </c>
      <c r="G1879">
        <v>1</v>
      </c>
      <c r="H1879" t="str">
        <f>"00000000"</f>
        <v>00000000</v>
      </c>
      <c r="I1879" t="s">
        <v>35</v>
      </c>
      <c r="J1879"/>
      <c r="K1879">
        <v>27.65</v>
      </c>
      <c r="L1879">
        <v>0.0</v>
      </c>
      <c r="M1879"/>
      <c r="N1879"/>
      <c r="O1879">
        <v>4.98</v>
      </c>
      <c r="P1879">
        <v>0.2</v>
      </c>
      <c r="Q1879">
        <v>32.83</v>
      </c>
      <c r="R1879"/>
      <c r="S1879"/>
      <c r="T1879"/>
      <c r="U1879"/>
      <c r="V1879"/>
      <c r="W1879">
        <v>18</v>
      </c>
    </row>
    <row r="1880" spans="1:23">
      <c r="A1880"/>
      <c r="B1880" t="s">
        <v>63</v>
      </c>
      <c r="C1880" t="s">
        <v>63</v>
      </c>
      <c r="D1880" t="s">
        <v>33</v>
      </c>
      <c r="E1880" t="s">
        <v>34</v>
      </c>
      <c r="F1880" t="str">
        <f>"0002192"</f>
        <v>0002192</v>
      </c>
      <c r="G1880">
        <v>1</v>
      </c>
      <c r="H1880" t="str">
        <f>"00000000"</f>
        <v>00000000</v>
      </c>
      <c r="I1880" t="s">
        <v>35</v>
      </c>
      <c r="J1880"/>
      <c r="K1880">
        <v>28.64</v>
      </c>
      <c r="L1880">
        <v>0.0</v>
      </c>
      <c r="M1880"/>
      <c r="N1880"/>
      <c r="O1880">
        <v>5.16</v>
      </c>
      <c r="P1880">
        <v>0.0</v>
      </c>
      <c r="Q1880">
        <v>33.8</v>
      </c>
      <c r="R1880"/>
      <c r="S1880"/>
      <c r="T1880"/>
      <c r="U1880"/>
      <c r="V1880"/>
      <c r="W1880">
        <v>18</v>
      </c>
    </row>
    <row r="1881" spans="1:23">
      <c r="A1881"/>
      <c r="B1881" t="s">
        <v>63</v>
      </c>
      <c r="C1881" t="s">
        <v>63</v>
      </c>
      <c r="D1881" t="s">
        <v>33</v>
      </c>
      <c r="E1881" t="s">
        <v>34</v>
      </c>
      <c r="F1881" t="str">
        <f>"0002193"</f>
        <v>0002193</v>
      </c>
      <c r="G1881">
        <v>1</v>
      </c>
      <c r="H1881" t="str">
        <f>"00000000"</f>
        <v>00000000</v>
      </c>
      <c r="I1881" t="s">
        <v>35</v>
      </c>
      <c r="J1881"/>
      <c r="K1881">
        <v>1.4</v>
      </c>
      <c r="L1881">
        <v>0.0</v>
      </c>
      <c r="M1881"/>
      <c r="N1881"/>
      <c r="O1881">
        <v>0.25</v>
      </c>
      <c r="P1881">
        <v>0.0</v>
      </c>
      <c r="Q1881">
        <v>1.65</v>
      </c>
      <c r="R1881"/>
      <c r="S1881"/>
      <c r="T1881"/>
      <c r="U1881"/>
      <c r="V1881"/>
      <c r="W1881">
        <v>18</v>
      </c>
    </row>
    <row r="1882" spans="1:23">
      <c r="A1882"/>
      <c r="B1882" t="s">
        <v>64</v>
      </c>
      <c r="C1882" t="s">
        <v>64</v>
      </c>
      <c r="D1882" t="s">
        <v>33</v>
      </c>
      <c r="E1882" t="s">
        <v>34</v>
      </c>
      <c r="F1882" t="str">
        <f>"0002194"</f>
        <v>0002194</v>
      </c>
      <c r="G1882">
        <v>1</v>
      </c>
      <c r="H1882" t="str">
        <f>"00000000"</f>
        <v>00000000</v>
      </c>
      <c r="I1882" t="s">
        <v>35</v>
      </c>
      <c r="J1882"/>
      <c r="K1882">
        <v>58.6</v>
      </c>
      <c r="L1882">
        <v>0.0</v>
      </c>
      <c r="M1882"/>
      <c r="N1882"/>
      <c r="O1882">
        <v>10.55</v>
      </c>
      <c r="P1882">
        <v>0.2</v>
      </c>
      <c r="Q1882">
        <v>69.35</v>
      </c>
      <c r="R1882"/>
      <c r="S1882"/>
      <c r="T1882"/>
      <c r="U1882"/>
      <c r="V1882"/>
      <c r="W1882">
        <v>18</v>
      </c>
    </row>
    <row r="1883" spans="1:23">
      <c r="A1883"/>
      <c r="B1883" t="s">
        <v>64</v>
      </c>
      <c r="C1883" t="s">
        <v>64</v>
      </c>
      <c r="D1883" t="s">
        <v>33</v>
      </c>
      <c r="E1883" t="s">
        <v>34</v>
      </c>
      <c r="F1883" t="str">
        <f>"0002195"</f>
        <v>0002195</v>
      </c>
      <c r="G1883">
        <v>1</v>
      </c>
      <c r="H1883" t="str">
        <f>"00000000"</f>
        <v>00000000</v>
      </c>
      <c r="I1883" t="s">
        <v>35</v>
      </c>
      <c r="J1883"/>
      <c r="K1883">
        <v>8.6</v>
      </c>
      <c r="L1883">
        <v>0.0</v>
      </c>
      <c r="M1883"/>
      <c r="N1883"/>
      <c r="O1883">
        <v>1.55</v>
      </c>
      <c r="P1883">
        <v>0.2</v>
      </c>
      <c r="Q1883">
        <v>10.35</v>
      </c>
      <c r="R1883"/>
      <c r="S1883"/>
      <c r="T1883"/>
      <c r="U1883"/>
      <c r="V1883"/>
      <c r="W1883">
        <v>18</v>
      </c>
    </row>
    <row r="1884" spans="1:23">
      <c r="A1884"/>
      <c r="B1884" t="s">
        <v>64</v>
      </c>
      <c r="C1884" t="s">
        <v>64</v>
      </c>
      <c r="D1884" t="s">
        <v>33</v>
      </c>
      <c r="E1884" t="s">
        <v>34</v>
      </c>
      <c r="F1884" t="str">
        <f>"0002196"</f>
        <v>0002196</v>
      </c>
      <c r="G1884">
        <v>1</v>
      </c>
      <c r="H1884" t="str">
        <f>"00000000"</f>
        <v>00000000</v>
      </c>
      <c r="I1884" t="s">
        <v>35</v>
      </c>
      <c r="J1884"/>
      <c r="K1884">
        <v>1.69</v>
      </c>
      <c r="L1884">
        <v>0.0</v>
      </c>
      <c r="M1884"/>
      <c r="N1884"/>
      <c r="O1884">
        <v>0.31</v>
      </c>
      <c r="P1884">
        <v>0.0</v>
      </c>
      <c r="Q1884">
        <v>2.0</v>
      </c>
      <c r="R1884"/>
      <c r="S1884"/>
      <c r="T1884"/>
      <c r="U1884"/>
      <c r="V1884"/>
      <c r="W1884">
        <v>18</v>
      </c>
    </row>
    <row r="1885" spans="1:23">
      <c r="A1885"/>
      <c r="B1885" t="s">
        <v>64</v>
      </c>
      <c r="C1885" t="s">
        <v>64</v>
      </c>
      <c r="D1885" t="s">
        <v>33</v>
      </c>
      <c r="E1885" t="s">
        <v>34</v>
      </c>
      <c r="F1885" t="str">
        <f>"0002197"</f>
        <v>0002197</v>
      </c>
      <c r="G1885">
        <v>1</v>
      </c>
      <c r="H1885" t="str">
        <f>"00000000"</f>
        <v>00000000</v>
      </c>
      <c r="I1885" t="s">
        <v>35</v>
      </c>
      <c r="J1885"/>
      <c r="K1885">
        <v>6.61</v>
      </c>
      <c r="L1885">
        <v>0.0</v>
      </c>
      <c r="M1885"/>
      <c r="N1885"/>
      <c r="O1885">
        <v>1.19</v>
      </c>
      <c r="P1885">
        <v>0.0</v>
      </c>
      <c r="Q1885">
        <v>7.8</v>
      </c>
      <c r="R1885"/>
      <c r="S1885"/>
      <c r="T1885"/>
      <c r="U1885"/>
      <c r="V1885"/>
      <c r="W1885">
        <v>18</v>
      </c>
    </row>
    <row r="1886" spans="1:23">
      <c r="A1886"/>
      <c r="B1886" t="s">
        <v>64</v>
      </c>
      <c r="C1886" t="s">
        <v>64</v>
      </c>
      <c r="D1886" t="s">
        <v>33</v>
      </c>
      <c r="E1886" t="s">
        <v>34</v>
      </c>
      <c r="F1886" t="str">
        <f>"0002198"</f>
        <v>0002198</v>
      </c>
      <c r="G1886">
        <v>1</v>
      </c>
      <c r="H1886" t="str">
        <f>"00000000"</f>
        <v>00000000</v>
      </c>
      <c r="I1886" t="s">
        <v>35</v>
      </c>
      <c r="J1886"/>
      <c r="K1886">
        <v>10.42</v>
      </c>
      <c r="L1886">
        <v>0.0</v>
      </c>
      <c r="M1886"/>
      <c r="N1886"/>
      <c r="O1886">
        <v>1.88</v>
      </c>
      <c r="P1886">
        <v>0.0</v>
      </c>
      <c r="Q1886">
        <v>12.3</v>
      </c>
      <c r="R1886"/>
      <c r="S1886"/>
      <c r="T1886"/>
      <c r="U1886"/>
      <c r="V1886"/>
      <c r="W1886">
        <v>18</v>
      </c>
    </row>
    <row r="1887" spans="1:23">
      <c r="A1887"/>
      <c r="B1887" t="s">
        <v>64</v>
      </c>
      <c r="C1887" t="s">
        <v>64</v>
      </c>
      <c r="D1887" t="s">
        <v>33</v>
      </c>
      <c r="E1887" t="s">
        <v>34</v>
      </c>
      <c r="F1887" t="str">
        <f>"0002199"</f>
        <v>0002199</v>
      </c>
      <c r="G1887">
        <v>1</v>
      </c>
      <c r="H1887" t="str">
        <f>"00000000"</f>
        <v>00000000</v>
      </c>
      <c r="I1887" t="s">
        <v>35</v>
      </c>
      <c r="J1887"/>
      <c r="K1887">
        <v>5.85</v>
      </c>
      <c r="L1887">
        <v>0.0</v>
      </c>
      <c r="M1887"/>
      <c r="N1887"/>
      <c r="O1887">
        <v>1.05</v>
      </c>
      <c r="P1887">
        <v>0.0</v>
      </c>
      <c r="Q1887">
        <v>6.9</v>
      </c>
      <c r="R1887"/>
      <c r="S1887"/>
      <c r="T1887"/>
      <c r="U1887"/>
      <c r="V1887"/>
      <c r="W1887">
        <v>18</v>
      </c>
    </row>
    <row r="1888" spans="1:23">
      <c r="A1888"/>
      <c r="B1888" t="s">
        <v>64</v>
      </c>
      <c r="C1888" t="s">
        <v>64</v>
      </c>
      <c r="D1888" t="s">
        <v>33</v>
      </c>
      <c r="E1888" t="s">
        <v>34</v>
      </c>
      <c r="F1888" t="str">
        <f>"0002200"</f>
        <v>0002200</v>
      </c>
      <c r="G1888">
        <v>1</v>
      </c>
      <c r="H1888" t="str">
        <f>"00000000"</f>
        <v>00000000</v>
      </c>
      <c r="I1888" t="s">
        <v>35</v>
      </c>
      <c r="J1888"/>
      <c r="K1888">
        <v>5.51</v>
      </c>
      <c r="L1888">
        <v>0.0</v>
      </c>
      <c r="M1888"/>
      <c r="N1888"/>
      <c r="O1888">
        <v>0.99</v>
      </c>
      <c r="P1888">
        <v>0.0</v>
      </c>
      <c r="Q1888">
        <v>6.5</v>
      </c>
      <c r="R1888"/>
      <c r="S1888"/>
      <c r="T1888"/>
      <c r="U1888"/>
      <c r="V1888"/>
      <c r="W1888">
        <v>18</v>
      </c>
    </row>
    <row r="1889" spans="1:23">
      <c r="A1889"/>
      <c r="B1889" t="s">
        <v>64</v>
      </c>
      <c r="C1889" t="s">
        <v>64</v>
      </c>
      <c r="D1889" t="s">
        <v>33</v>
      </c>
      <c r="E1889" t="s">
        <v>34</v>
      </c>
      <c r="F1889" t="str">
        <f>"0002201"</f>
        <v>0002201</v>
      </c>
      <c r="G1889">
        <v>1</v>
      </c>
      <c r="H1889" t="str">
        <f>"00000000"</f>
        <v>00000000</v>
      </c>
      <c r="I1889" t="s">
        <v>35</v>
      </c>
      <c r="J1889"/>
      <c r="K1889">
        <v>23.47</v>
      </c>
      <c r="L1889">
        <v>0.0</v>
      </c>
      <c r="M1889"/>
      <c r="N1889"/>
      <c r="O1889">
        <v>4.23</v>
      </c>
      <c r="P1889">
        <v>0.0</v>
      </c>
      <c r="Q1889">
        <v>27.7</v>
      </c>
      <c r="R1889"/>
      <c r="S1889"/>
      <c r="T1889"/>
      <c r="U1889"/>
      <c r="V1889"/>
      <c r="W1889">
        <v>18</v>
      </c>
    </row>
    <row r="1890" spans="1:23">
      <c r="A1890"/>
      <c r="B1890" t="s">
        <v>64</v>
      </c>
      <c r="C1890" t="s">
        <v>64</v>
      </c>
      <c r="D1890" t="s">
        <v>33</v>
      </c>
      <c r="E1890" t="s">
        <v>34</v>
      </c>
      <c r="F1890" t="str">
        <f>"0002202"</f>
        <v>0002202</v>
      </c>
      <c r="G1890">
        <v>1</v>
      </c>
      <c r="H1890" t="str">
        <f>"00000000"</f>
        <v>00000000</v>
      </c>
      <c r="I1890" t="s">
        <v>35</v>
      </c>
      <c r="J1890"/>
      <c r="K1890">
        <v>110.22</v>
      </c>
      <c r="L1890">
        <v>0.0</v>
      </c>
      <c r="M1890"/>
      <c r="N1890"/>
      <c r="O1890">
        <v>19.84</v>
      </c>
      <c r="P1890">
        <v>0.4</v>
      </c>
      <c r="Q1890">
        <v>130.46</v>
      </c>
      <c r="R1890"/>
      <c r="S1890"/>
      <c r="T1890"/>
      <c r="U1890"/>
      <c r="V1890"/>
      <c r="W1890">
        <v>18</v>
      </c>
    </row>
    <row r="1891" spans="1:23">
      <c r="A1891"/>
      <c r="B1891" t="s">
        <v>64</v>
      </c>
      <c r="C1891" t="s">
        <v>64</v>
      </c>
      <c r="D1891" t="s">
        <v>33</v>
      </c>
      <c r="E1891" t="s">
        <v>34</v>
      </c>
      <c r="F1891" t="str">
        <f>"0002203"</f>
        <v>0002203</v>
      </c>
      <c r="G1891">
        <v>1</v>
      </c>
      <c r="H1891" t="str">
        <f>"00000000"</f>
        <v>00000000</v>
      </c>
      <c r="I1891" t="s">
        <v>35</v>
      </c>
      <c r="J1891"/>
      <c r="K1891">
        <v>31.7</v>
      </c>
      <c r="L1891">
        <v>0.0</v>
      </c>
      <c r="M1891"/>
      <c r="N1891"/>
      <c r="O1891">
        <v>5.71</v>
      </c>
      <c r="P1891">
        <v>0.2</v>
      </c>
      <c r="Q1891">
        <v>37.61</v>
      </c>
      <c r="R1891"/>
      <c r="S1891"/>
      <c r="T1891"/>
      <c r="U1891"/>
      <c r="V1891"/>
      <c r="W1891">
        <v>18</v>
      </c>
    </row>
    <row r="1892" spans="1:23">
      <c r="A1892"/>
      <c r="B1892" t="s">
        <v>64</v>
      </c>
      <c r="C1892" t="s">
        <v>64</v>
      </c>
      <c r="D1892" t="s">
        <v>33</v>
      </c>
      <c r="E1892" t="s">
        <v>34</v>
      </c>
      <c r="F1892" t="str">
        <f>"0002204"</f>
        <v>0002204</v>
      </c>
      <c r="G1892">
        <v>1</v>
      </c>
      <c r="H1892" t="str">
        <f>"00000000"</f>
        <v>00000000</v>
      </c>
      <c r="I1892" t="s">
        <v>35</v>
      </c>
      <c r="J1892"/>
      <c r="K1892">
        <v>10.06</v>
      </c>
      <c r="L1892">
        <v>0.0</v>
      </c>
      <c r="M1892"/>
      <c r="N1892"/>
      <c r="O1892">
        <v>1.81</v>
      </c>
      <c r="P1892">
        <v>0.0</v>
      </c>
      <c r="Q1892">
        <v>11.87</v>
      </c>
      <c r="R1892"/>
      <c r="S1892"/>
      <c r="T1892"/>
      <c r="U1892"/>
      <c r="V1892"/>
      <c r="W1892">
        <v>18</v>
      </c>
    </row>
    <row r="1893" spans="1:23">
      <c r="A1893"/>
      <c r="B1893" t="s">
        <v>64</v>
      </c>
      <c r="C1893" t="s">
        <v>64</v>
      </c>
      <c r="D1893" t="s">
        <v>33</v>
      </c>
      <c r="E1893" t="s">
        <v>34</v>
      </c>
      <c r="F1893" t="str">
        <f>"0002205"</f>
        <v>0002205</v>
      </c>
      <c r="G1893">
        <v>1</v>
      </c>
      <c r="H1893" t="str">
        <f>"00000000"</f>
        <v>00000000</v>
      </c>
      <c r="I1893" t="s">
        <v>35</v>
      </c>
      <c r="J1893"/>
      <c r="K1893">
        <v>0.51</v>
      </c>
      <c r="L1893">
        <v>0.0</v>
      </c>
      <c r="M1893"/>
      <c r="N1893"/>
      <c r="O1893">
        <v>0.09</v>
      </c>
      <c r="P1893">
        <v>0.0</v>
      </c>
      <c r="Q1893">
        <v>0.6</v>
      </c>
      <c r="R1893"/>
      <c r="S1893"/>
      <c r="T1893"/>
      <c r="U1893"/>
      <c r="V1893"/>
      <c r="W1893">
        <v>18</v>
      </c>
    </row>
    <row r="1894" spans="1:23">
      <c r="A1894"/>
      <c r="B1894" t="s">
        <v>64</v>
      </c>
      <c r="C1894" t="s">
        <v>64</v>
      </c>
      <c r="D1894" t="s">
        <v>33</v>
      </c>
      <c r="E1894" t="s">
        <v>34</v>
      </c>
      <c r="F1894" t="str">
        <f>"0002206"</f>
        <v>0002206</v>
      </c>
      <c r="G1894">
        <v>1</v>
      </c>
      <c r="H1894" t="str">
        <f>"00000000"</f>
        <v>00000000</v>
      </c>
      <c r="I1894" t="s">
        <v>35</v>
      </c>
      <c r="J1894"/>
      <c r="K1894">
        <v>65.26</v>
      </c>
      <c r="L1894">
        <v>0.0</v>
      </c>
      <c r="M1894"/>
      <c r="N1894"/>
      <c r="O1894">
        <v>11.75</v>
      </c>
      <c r="P1894">
        <v>0.4</v>
      </c>
      <c r="Q1894">
        <v>77.41</v>
      </c>
      <c r="R1894"/>
      <c r="S1894"/>
      <c r="T1894"/>
      <c r="U1894"/>
      <c r="V1894"/>
      <c r="W1894">
        <v>18</v>
      </c>
    </row>
    <row r="1895" spans="1:23">
      <c r="A1895"/>
      <c r="B1895" t="s">
        <v>64</v>
      </c>
      <c r="C1895" t="s">
        <v>64</v>
      </c>
      <c r="D1895" t="s">
        <v>33</v>
      </c>
      <c r="E1895" t="s">
        <v>34</v>
      </c>
      <c r="F1895" t="str">
        <f>"0002207"</f>
        <v>0002207</v>
      </c>
      <c r="G1895">
        <v>1</v>
      </c>
      <c r="H1895" t="str">
        <f>"00000000"</f>
        <v>00000000</v>
      </c>
      <c r="I1895" t="s">
        <v>35</v>
      </c>
      <c r="J1895"/>
      <c r="K1895">
        <v>7.63</v>
      </c>
      <c r="L1895">
        <v>0.0</v>
      </c>
      <c r="M1895"/>
      <c r="N1895"/>
      <c r="O1895">
        <v>1.37</v>
      </c>
      <c r="P1895">
        <v>0.0</v>
      </c>
      <c r="Q1895">
        <v>9.0</v>
      </c>
      <c r="R1895"/>
      <c r="S1895"/>
      <c r="T1895"/>
      <c r="U1895"/>
      <c r="V1895"/>
      <c r="W1895">
        <v>18</v>
      </c>
    </row>
    <row r="1896" spans="1:23">
      <c r="A1896"/>
      <c r="B1896" t="s">
        <v>64</v>
      </c>
      <c r="C1896" t="s">
        <v>64</v>
      </c>
      <c r="D1896" t="s">
        <v>33</v>
      </c>
      <c r="E1896" t="s">
        <v>34</v>
      </c>
      <c r="F1896" t="str">
        <f>"0002208"</f>
        <v>0002208</v>
      </c>
      <c r="G1896">
        <v>1</v>
      </c>
      <c r="H1896" t="str">
        <f>"00000000"</f>
        <v>00000000</v>
      </c>
      <c r="I1896" t="s">
        <v>35</v>
      </c>
      <c r="J1896"/>
      <c r="K1896">
        <v>5.36</v>
      </c>
      <c r="L1896">
        <v>0.0</v>
      </c>
      <c r="M1896"/>
      <c r="N1896"/>
      <c r="O1896">
        <v>0.96</v>
      </c>
      <c r="P1896">
        <v>0.0</v>
      </c>
      <c r="Q1896">
        <v>6.32</v>
      </c>
      <c r="R1896"/>
      <c r="S1896"/>
      <c r="T1896"/>
      <c r="U1896"/>
      <c r="V1896"/>
      <c r="W1896">
        <v>18</v>
      </c>
    </row>
    <row r="1897" spans="1:23">
      <c r="A1897"/>
      <c r="B1897" t="s">
        <v>64</v>
      </c>
      <c r="C1897" t="s">
        <v>64</v>
      </c>
      <c r="D1897" t="s">
        <v>33</v>
      </c>
      <c r="E1897" t="s">
        <v>34</v>
      </c>
      <c r="F1897" t="str">
        <f>"0002209"</f>
        <v>0002209</v>
      </c>
      <c r="G1897">
        <v>1</v>
      </c>
      <c r="H1897" t="str">
        <f>"00000000"</f>
        <v>00000000</v>
      </c>
      <c r="I1897" t="s">
        <v>35</v>
      </c>
      <c r="J1897"/>
      <c r="K1897">
        <v>12.39</v>
      </c>
      <c r="L1897">
        <v>0.0</v>
      </c>
      <c r="M1897"/>
      <c r="N1897"/>
      <c r="O1897">
        <v>2.23</v>
      </c>
      <c r="P1897">
        <v>0.2</v>
      </c>
      <c r="Q1897">
        <v>14.81</v>
      </c>
      <c r="R1897"/>
      <c r="S1897"/>
      <c r="T1897"/>
      <c r="U1897"/>
      <c r="V1897"/>
      <c r="W1897">
        <v>18</v>
      </c>
    </row>
    <row r="1898" spans="1:23">
      <c r="A1898"/>
      <c r="B1898" t="s">
        <v>64</v>
      </c>
      <c r="C1898" t="s">
        <v>64</v>
      </c>
      <c r="D1898" t="s">
        <v>33</v>
      </c>
      <c r="E1898" t="s">
        <v>34</v>
      </c>
      <c r="F1898" t="str">
        <f>"0002210"</f>
        <v>0002210</v>
      </c>
      <c r="G1898">
        <v>1</v>
      </c>
      <c r="H1898" t="str">
        <f>"00000000"</f>
        <v>00000000</v>
      </c>
      <c r="I1898" t="s">
        <v>35</v>
      </c>
      <c r="J1898"/>
      <c r="K1898">
        <v>10.93</v>
      </c>
      <c r="L1898">
        <v>0.0</v>
      </c>
      <c r="M1898"/>
      <c r="N1898"/>
      <c r="O1898">
        <v>1.97</v>
      </c>
      <c r="P1898">
        <v>0.0</v>
      </c>
      <c r="Q1898">
        <v>12.9</v>
      </c>
      <c r="R1898"/>
      <c r="S1898"/>
      <c r="T1898"/>
      <c r="U1898"/>
      <c r="V1898"/>
      <c r="W1898">
        <v>18</v>
      </c>
    </row>
    <row r="1899" spans="1:23">
      <c r="A1899"/>
      <c r="B1899" t="s">
        <v>64</v>
      </c>
      <c r="C1899" t="s">
        <v>64</v>
      </c>
      <c r="D1899" t="s">
        <v>33</v>
      </c>
      <c r="E1899" t="s">
        <v>34</v>
      </c>
      <c r="F1899" t="str">
        <f>"0002211"</f>
        <v>0002211</v>
      </c>
      <c r="G1899">
        <v>1</v>
      </c>
      <c r="H1899" t="str">
        <f>"00000000"</f>
        <v>00000000</v>
      </c>
      <c r="I1899" t="s">
        <v>35</v>
      </c>
      <c r="J1899"/>
      <c r="K1899">
        <v>5.14</v>
      </c>
      <c r="L1899">
        <v>0.0</v>
      </c>
      <c r="M1899"/>
      <c r="N1899"/>
      <c r="O1899">
        <v>0.92</v>
      </c>
      <c r="P1899">
        <v>0.0</v>
      </c>
      <c r="Q1899">
        <v>6.06</v>
      </c>
      <c r="R1899"/>
      <c r="S1899"/>
      <c r="T1899"/>
      <c r="U1899"/>
      <c r="V1899"/>
      <c r="W1899">
        <v>18</v>
      </c>
    </row>
    <row r="1900" spans="1:23">
      <c r="A1900"/>
      <c r="B1900" t="s">
        <v>64</v>
      </c>
      <c r="C1900" t="s">
        <v>64</v>
      </c>
      <c r="D1900" t="s">
        <v>33</v>
      </c>
      <c r="E1900" t="s">
        <v>34</v>
      </c>
      <c r="F1900" t="str">
        <f>"0002212"</f>
        <v>0002212</v>
      </c>
      <c r="G1900">
        <v>1</v>
      </c>
      <c r="H1900" t="str">
        <f>"00000000"</f>
        <v>00000000</v>
      </c>
      <c r="I1900" t="s">
        <v>35</v>
      </c>
      <c r="J1900"/>
      <c r="K1900">
        <v>6.05</v>
      </c>
      <c r="L1900">
        <v>0.0</v>
      </c>
      <c r="M1900"/>
      <c r="N1900"/>
      <c r="O1900">
        <v>1.09</v>
      </c>
      <c r="P1900">
        <v>0.0</v>
      </c>
      <c r="Q1900">
        <v>7.14</v>
      </c>
      <c r="R1900"/>
      <c r="S1900"/>
      <c r="T1900"/>
      <c r="U1900"/>
      <c r="V1900"/>
      <c r="W1900">
        <v>18</v>
      </c>
    </row>
    <row r="1901" spans="1:23">
      <c r="A1901"/>
      <c r="B1901" t="s">
        <v>64</v>
      </c>
      <c r="C1901" t="s">
        <v>64</v>
      </c>
      <c r="D1901" t="s">
        <v>33</v>
      </c>
      <c r="E1901" t="s">
        <v>34</v>
      </c>
      <c r="F1901" t="str">
        <f>"0002213"</f>
        <v>0002213</v>
      </c>
      <c r="G1901">
        <v>1</v>
      </c>
      <c r="H1901" t="str">
        <f>"00000000"</f>
        <v>00000000</v>
      </c>
      <c r="I1901" t="s">
        <v>35</v>
      </c>
      <c r="J1901"/>
      <c r="K1901">
        <v>2.15</v>
      </c>
      <c r="L1901">
        <v>0.0</v>
      </c>
      <c r="M1901"/>
      <c r="N1901"/>
      <c r="O1901">
        <v>0.39</v>
      </c>
      <c r="P1901">
        <v>0.0</v>
      </c>
      <c r="Q1901">
        <v>2.54</v>
      </c>
      <c r="R1901"/>
      <c r="S1901"/>
      <c r="T1901"/>
      <c r="U1901"/>
      <c r="V1901"/>
      <c r="W1901">
        <v>18</v>
      </c>
    </row>
    <row r="1902" spans="1:23">
      <c r="A1902"/>
      <c r="B1902" t="s">
        <v>64</v>
      </c>
      <c r="C1902" t="s">
        <v>64</v>
      </c>
      <c r="D1902" t="s">
        <v>33</v>
      </c>
      <c r="E1902" t="s">
        <v>34</v>
      </c>
      <c r="F1902" t="str">
        <f>"0002214"</f>
        <v>0002214</v>
      </c>
      <c r="G1902">
        <v>1</v>
      </c>
      <c r="H1902" t="str">
        <f>"00000000"</f>
        <v>00000000</v>
      </c>
      <c r="I1902" t="s">
        <v>35</v>
      </c>
      <c r="J1902"/>
      <c r="K1902">
        <v>23.6</v>
      </c>
      <c r="L1902">
        <v>0.0</v>
      </c>
      <c r="M1902"/>
      <c r="N1902"/>
      <c r="O1902">
        <v>4.25</v>
      </c>
      <c r="P1902">
        <v>0.2</v>
      </c>
      <c r="Q1902">
        <v>28.05</v>
      </c>
      <c r="R1902"/>
      <c r="S1902"/>
      <c r="T1902"/>
      <c r="U1902"/>
      <c r="V1902"/>
      <c r="W1902">
        <v>18</v>
      </c>
    </row>
    <row r="1903" spans="1:23">
      <c r="A1903"/>
      <c r="B1903" t="s">
        <v>64</v>
      </c>
      <c r="C1903" t="s">
        <v>64</v>
      </c>
      <c r="D1903" t="s">
        <v>33</v>
      </c>
      <c r="E1903" t="s">
        <v>34</v>
      </c>
      <c r="F1903" t="str">
        <f>"0002215"</f>
        <v>0002215</v>
      </c>
      <c r="G1903">
        <v>1</v>
      </c>
      <c r="H1903" t="str">
        <f>"00000000"</f>
        <v>00000000</v>
      </c>
      <c r="I1903" t="s">
        <v>35</v>
      </c>
      <c r="J1903"/>
      <c r="K1903">
        <v>21.63</v>
      </c>
      <c r="L1903">
        <v>0.0</v>
      </c>
      <c r="M1903"/>
      <c r="N1903"/>
      <c r="O1903">
        <v>3.89</v>
      </c>
      <c r="P1903">
        <v>0.0</v>
      </c>
      <c r="Q1903">
        <v>25.53</v>
      </c>
      <c r="R1903"/>
      <c r="S1903"/>
      <c r="T1903"/>
      <c r="U1903"/>
      <c r="V1903"/>
      <c r="W1903">
        <v>18</v>
      </c>
    </row>
    <row r="1904" spans="1:23">
      <c r="A1904"/>
      <c r="B1904" t="s">
        <v>64</v>
      </c>
      <c r="C1904" t="s">
        <v>64</v>
      </c>
      <c r="D1904" t="s">
        <v>33</v>
      </c>
      <c r="E1904" t="s">
        <v>34</v>
      </c>
      <c r="F1904" t="str">
        <f>"0002216"</f>
        <v>0002216</v>
      </c>
      <c r="G1904">
        <v>1</v>
      </c>
      <c r="H1904" t="str">
        <f>"00000000"</f>
        <v>00000000</v>
      </c>
      <c r="I1904" t="s">
        <v>35</v>
      </c>
      <c r="J1904"/>
      <c r="K1904">
        <v>10.17</v>
      </c>
      <c r="L1904">
        <v>0.0</v>
      </c>
      <c r="M1904"/>
      <c r="N1904"/>
      <c r="O1904">
        <v>1.83</v>
      </c>
      <c r="P1904">
        <v>0.0</v>
      </c>
      <c r="Q1904">
        <v>12.0</v>
      </c>
      <c r="R1904"/>
      <c r="S1904"/>
      <c r="T1904"/>
      <c r="U1904"/>
      <c r="V1904"/>
      <c r="W1904">
        <v>18</v>
      </c>
    </row>
    <row r="1905" spans="1:23">
      <c r="A1905"/>
      <c r="B1905" t="s">
        <v>64</v>
      </c>
      <c r="C1905" t="s">
        <v>64</v>
      </c>
      <c r="D1905" t="s">
        <v>33</v>
      </c>
      <c r="E1905" t="s">
        <v>34</v>
      </c>
      <c r="F1905" t="str">
        <f>"0002217"</f>
        <v>0002217</v>
      </c>
      <c r="G1905">
        <v>1</v>
      </c>
      <c r="H1905" t="str">
        <f>"00000000"</f>
        <v>00000000</v>
      </c>
      <c r="I1905" t="s">
        <v>35</v>
      </c>
      <c r="J1905"/>
      <c r="K1905">
        <v>1.53</v>
      </c>
      <c r="L1905">
        <v>0.0</v>
      </c>
      <c r="M1905"/>
      <c r="N1905"/>
      <c r="O1905">
        <v>0.27</v>
      </c>
      <c r="P1905">
        <v>0.0</v>
      </c>
      <c r="Q1905">
        <v>1.8</v>
      </c>
      <c r="R1905"/>
      <c r="S1905"/>
      <c r="T1905"/>
      <c r="U1905"/>
      <c r="V1905"/>
      <c r="W1905">
        <v>18</v>
      </c>
    </row>
    <row r="1906" spans="1:23">
      <c r="A1906"/>
      <c r="B1906" t="s">
        <v>64</v>
      </c>
      <c r="C1906" t="s">
        <v>64</v>
      </c>
      <c r="D1906" t="s">
        <v>33</v>
      </c>
      <c r="E1906" t="s">
        <v>34</v>
      </c>
      <c r="F1906" t="str">
        <f>"0002218"</f>
        <v>0002218</v>
      </c>
      <c r="G1906">
        <v>1</v>
      </c>
      <c r="H1906" t="str">
        <f>"00000000"</f>
        <v>00000000</v>
      </c>
      <c r="I1906" t="s">
        <v>35</v>
      </c>
      <c r="J1906"/>
      <c r="K1906">
        <v>1.58</v>
      </c>
      <c r="L1906">
        <v>0.0</v>
      </c>
      <c r="M1906"/>
      <c r="N1906"/>
      <c r="O1906">
        <v>0.28</v>
      </c>
      <c r="P1906">
        <v>0.0</v>
      </c>
      <c r="Q1906">
        <v>1.86</v>
      </c>
      <c r="R1906"/>
      <c r="S1906"/>
      <c r="T1906"/>
      <c r="U1906"/>
      <c r="V1906"/>
      <c r="W1906">
        <v>18</v>
      </c>
    </row>
    <row r="1907" spans="1:23">
      <c r="A1907"/>
      <c r="B1907" t="s">
        <v>64</v>
      </c>
      <c r="C1907" t="s">
        <v>64</v>
      </c>
      <c r="D1907" t="s">
        <v>33</v>
      </c>
      <c r="E1907" t="s">
        <v>34</v>
      </c>
      <c r="F1907" t="str">
        <f>"0002219"</f>
        <v>0002219</v>
      </c>
      <c r="G1907">
        <v>1</v>
      </c>
      <c r="H1907" t="str">
        <f>"00000000"</f>
        <v>00000000</v>
      </c>
      <c r="I1907" t="s">
        <v>35</v>
      </c>
      <c r="J1907"/>
      <c r="K1907">
        <v>0.99</v>
      </c>
      <c r="L1907">
        <v>0.0</v>
      </c>
      <c r="M1907"/>
      <c r="N1907"/>
      <c r="O1907">
        <v>0.18</v>
      </c>
      <c r="P1907">
        <v>0.0</v>
      </c>
      <c r="Q1907">
        <v>1.16</v>
      </c>
      <c r="R1907"/>
      <c r="S1907"/>
      <c r="T1907"/>
      <c r="U1907"/>
      <c r="V1907"/>
      <c r="W1907">
        <v>18</v>
      </c>
    </row>
    <row r="1908" spans="1:23">
      <c r="A1908"/>
      <c r="B1908" t="s">
        <v>64</v>
      </c>
      <c r="C1908" t="s">
        <v>64</v>
      </c>
      <c r="D1908" t="s">
        <v>33</v>
      </c>
      <c r="E1908" t="s">
        <v>34</v>
      </c>
      <c r="F1908" t="str">
        <f>"0002220"</f>
        <v>0002220</v>
      </c>
      <c r="G1908">
        <v>1</v>
      </c>
      <c r="H1908" t="str">
        <f>"00000000"</f>
        <v>00000000</v>
      </c>
      <c r="I1908" t="s">
        <v>35</v>
      </c>
      <c r="J1908"/>
      <c r="K1908">
        <v>28.32</v>
      </c>
      <c r="L1908">
        <v>0.0</v>
      </c>
      <c r="M1908"/>
      <c r="N1908"/>
      <c r="O1908">
        <v>5.1</v>
      </c>
      <c r="P1908">
        <v>0.2</v>
      </c>
      <c r="Q1908">
        <v>33.61</v>
      </c>
      <c r="R1908"/>
      <c r="S1908"/>
      <c r="T1908"/>
      <c r="U1908"/>
      <c r="V1908"/>
      <c r="W1908">
        <v>18</v>
      </c>
    </row>
    <row r="1909" spans="1:23">
      <c r="A1909"/>
      <c r="B1909" t="s">
        <v>64</v>
      </c>
      <c r="C1909" t="s">
        <v>64</v>
      </c>
      <c r="D1909" t="s">
        <v>33</v>
      </c>
      <c r="E1909" t="s">
        <v>34</v>
      </c>
      <c r="F1909" t="str">
        <f>"0002221"</f>
        <v>0002221</v>
      </c>
      <c r="G1909">
        <v>1</v>
      </c>
      <c r="H1909" t="str">
        <f>"00000000"</f>
        <v>00000000</v>
      </c>
      <c r="I1909" t="s">
        <v>35</v>
      </c>
      <c r="J1909"/>
      <c r="K1909">
        <v>16.63</v>
      </c>
      <c r="L1909">
        <v>0.0</v>
      </c>
      <c r="M1909"/>
      <c r="N1909"/>
      <c r="O1909">
        <v>2.99</v>
      </c>
      <c r="P1909">
        <v>0.2</v>
      </c>
      <c r="Q1909">
        <v>19.82</v>
      </c>
      <c r="R1909"/>
      <c r="S1909"/>
      <c r="T1909"/>
      <c r="U1909"/>
      <c r="V1909"/>
      <c r="W1909">
        <v>18</v>
      </c>
    </row>
    <row r="1910" spans="1:23">
      <c r="A1910"/>
      <c r="B1910" t="s">
        <v>64</v>
      </c>
      <c r="C1910" t="s">
        <v>64</v>
      </c>
      <c r="D1910" t="s">
        <v>33</v>
      </c>
      <c r="E1910" t="s">
        <v>34</v>
      </c>
      <c r="F1910" t="str">
        <f>"0002222"</f>
        <v>0002222</v>
      </c>
      <c r="G1910">
        <v>1</v>
      </c>
      <c r="H1910" t="str">
        <f>"00000000"</f>
        <v>00000000</v>
      </c>
      <c r="I1910" t="s">
        <v>35</v>
      </c>
      <c r="J1910"/>
      <c r="K1910">
        <v>24.92</v>
      </c>
      <c r="L1910">
        <v>0.0</v>
      </c>
      <c r="M1910"/>
      <c r="N1910"/>
      <c r="O1910">
        <v>4.48</v>
      </c>
      <c r="P1910">
        <v>0.2</v>
      </c>
      <c r="Q1910">
        <v>29.6</v>
      </c>
      <c r="R1910"/>
      <c r="S1910"/>
      <c r="T1910"/>
      <c r="U1910"/>
      <c r="V1910"/>
      <c r="W1910">
        <v>18</v>
      </c>
    </row>
    <row r="1911" spans="1:23">
      <c r="A1911"/>
      <c r="B1911" t="s">
        <v>64</v>
      </c>
      <c r="C1911" t="s">
        <v>64</v>
      </c>
      <c r="D1911" t="s">
        <v>33</v>
      </c>
      <c r="E1911" t="s">
        <v>34</v>
      </c>
      <c r="F1911" t="str">
        <f>"0002223"</f>
        <v>0002223</v>
      </c>
      <c r="G1911">
        <v>1</v>
      </c>
      <c r="H1911" t="str">
        <f>"00000000"</f>
        <v>00000000</v>
      </c>
      <c r="I1911" t="s">
        <v>35</v>
      </c>
      <c r="J1911"/>
      <c r="K1911">
        <v>7.89</v>
      </c>
      <c r="L1911">
        <v>0.0</v>
      </c>
      <c r="M1911"/>
      <c r="N1911"/>
      <c r="O1911">
        <v>1.42</v>
      </c>
      <c r="P1911">
        <v>0.0</v>
      </c>
      <c r="Q1911">
        <v>9.31</v>
      </c>
      <c r="R1911"/>
      <c r="S1911"/>
      <c r="T1911"/>
      <c r="U1911"/>
      <c r="V1911"/>
      <c r="W1911">
        <v>18</v>
      </c>
    </row>
    <row r="1912" spans="1:23">
      <c r="A1912"/>
      <c r="B1912" t="s">
        <v>64</v>
      </c>
      <c r="C1912" t="s">
        <v>64</v>
      </c>
      <c r="D1912" t="s">
        <v>33</v>
      </c>
      <c r="E1912" t="s">
        <v>34</v>
      </c>
      <c r="F1912" t="str">
        <f>"0002224"</f>
        <v>0002224</v>
      </c>
      <c r="G1912">
        <v>1</v>
      </c>
      <c r="H1912" t="str">
        <f>"00000000"</f>
        <v>00000000</v>
      </c>
      <c r="I1912" t="s">
        <v>35</v>
      </c>
      <c r="J1912"/>
      <c r="K1912">
        <v>14.42</v>
      </c>
      <c r="L1912">
        <v>0.0</v>
      </c>
      <c r="M1912"/>
      <c r="N1912"/>
      <c r="O1912">
        <v>2.59</v>
      </c>
      <c r="P1912">
        <v>0.0</v>
      </c>
      <c r="Q1912">
        <v>17.01</v>
      </c>
      <c r="R1912"/>
      <c r="S1912"/>
      <c r="T1912"/>
      <c r="U1912"/>
      <c r="V1912"/>
      <c r="W1912">
        <v>18</v>
      </c>
    </row>
    <row r="1913" spans="1:23">
      <c r="A1913"/>
      <c r="B1913" t="s">
        <v>64</v>
      </c>
      <c r="C1913" t="s">
        <v>64</v>
      </c>
      <c r="D1913" t="s">
        <v>33</v>
      </c>
      <c r="E1913" t="s">
        <v>34</v>
      </c>
      <c r="F1913" t="str">
        <f>"0002225"</f>
        <v>0002225</v>
      </c>
      <c r="G1913">
        <v>1</v>
      </c>
      <c r="H1913" t="str">
        <f>"00000000"</f>
        <v>00000000</v>
      </c>
      <c r="I1913" t="s">
        <v>35</v>
      </c>
      <c r="J1913"/>
      <c r="K1913">
        <v>6.69</v>
      </c>
      <c r="L1913">
        <v>0.0</v>
      </c>
      <c r="M1913"/>
      <c r="N1913"/>
      <c r="O1913">
        <v>1.21</v>
      </c>
      <c r="P1913">
        <v>0.0</v>
      </c>
      <c r="Q1913">
        <v>7.9</v>
      </c>
      <c r="R1913"/>
      <c r="S1913"/>
      <c r="T1913"/>
      <c r="U1913"/>
      <c r="V1913"/>
      <c r="W1913">
        <v>18</v>
      </c>
    </row>
    <row r="1914" spans="1:23">
      <c r="A1914"/>
      <c r="B1914" t="s">
        <v>64</v>
      </c>
      <c r="C1914" t="s">
        <v>64</v>
      </c>
      <c r="D1914" t="s">
        <v>33</v>
      </c>
      <c r="E1914" t="s">
        <v>34</v>
      </c>
      <c r="F1914" t="str">
        <f>"0002226"</f>
        <v>0002226</v>
      </c>
      <c r="G1914">
        <v>1</v>
      </c>
      <c r="H1914" t="str">
        <f>"00000000"</f>
        <v>00000000</v>
      </c>
      <c r="I1914" t="s">
        <v>35</v>
      </c>
      <c r="J1914"/>
      <c r="K1914">
        <v>2.8</v>
      </c>
      <c r="L1914">
        <v>0.0</v>
      </c>
      <c r="M1914"/>
      <c r="N1914"/>
      <c r="O1914">
        <v>0.5</v>
      </c>
      <c r="P1914">
        <v>0.0</v>
      </c>
      <c r="Q1914">
        <v>3.3</v>
      </c>
      <c r="R1914"/>
      <c r="S1914"/>
      <c r="T1914"/>
      <c r="U1914"/>
      <c r="V1914"/>
      <c r="W1914">
        <v>18</v>
      </c>
    </row>
    <row r="1915" spans="1:23">
      <c r="A1915"/>
      <c r="B1915" t="s">
        <v>64</v>
      </c>
      <c r="C1915" t="s">
        <v>64</v>
      </c>
      <c r="D1915" t="s">
        <v>33</v>
      </c>
      <c r="E1915" t="s">
        <v>34</v>
      </c>
      <c r="F1915" t="str">
        <f>"0002227"</f>
        <v>0002227</v>
      </c>
      <c r="G1915">
        <v>1</v>
      </c>
      <c r="H1915" t="str">
        <f>"00000000"</f>
        <v>00000000</v>
      </c>
      <c r="I1915" t="s">
        <v>35</v>
      </c>
      <c r="J1915"/>
      <c r="K1915">
        <v>6.61</v>
      </c>
      <c r="L1915">
        <v>0.0</v>
      </c>
      <c r="M1915"/>
      <c r="N1915"/>
      <c r="O1915">
        <v>1.19</v>
      </c>
      <c r="P1915">
        <v>0.0</v>
      </c>
      <c r="Q1915">
        <v>7.8</v>
      </c>
      <c r="R1915"/>
      <c r="S1915"/>
      <c r="T1915"/>
      <c r="U1915"/>
      <c r="V1915"/>
      <c r="W1915">
        <v>18</v>
      </c>
    </row>
    <row r="1916" spans="1:23">
      <c r="A1916"/>
      <c r="B1916" t="s">
        <v>64</v>
      </c>
      <c r="C1916" t="s">
        <v>64</v>
      </c>
      <c r="D1916" t="s">
        <v>33</v>
      </c>
      <c r="E1916" t="s">
        <v>34</v>
      </c>
      <c r="F1916" t="str">
        <f>"0002228"</f>
        <v>0002228</v>
      </c>
      <c r="G1916">
        <v>1</v>
      </c>
      <c r="H1916" t="str">
        <f>"00000000"</f>
        <v>00000000</v>
      </c>
      <c r="I1916" t="s">
        <v>35</v>
      </c>
      <c r="J1916"/>
      <c r="K1916">
        <v>0.38</v>
      </c>
      <c r="L1916">
        <v>0.0</v>
      </c>
      <c r="M1916"/>
      <c r="N1916"/>
      <c r="O1916">
        <v>0.07</v>
      </c>
      <c r="P1916">
        <v>0.0</v>
      </c>
      <c r="Q1916">
        <v>0.45</v>
      </c>
      <c r="R1916"/>
      <c r="S1916"/>
      <c r="T1916"/>
      <c r="U1916"/>
      <c r="V1916"/>
      <c r="W1916">
        <v>18</v>
      </c>
    </row>
    <row r="1917" spans="1:23">
      <c r="A1917"/>
      <c r="B1917" t="s">
        <v>64</v>
      </c>
      <c r="C1917" t="s">
        <v>64</v>
      </c>
      <c r="D1917" t="s">
        <v>33</v>
      </c>
      <c r="E1917" t="s">
        <v>34</v>
      </c>
      <c r="F1917" t="str">
        <f>"0002229"</f>
        <v>0002229</v>
      </c>
      <c r="G1917">
        <v>1</v>
      </c>
      <c r="H1917" t="str">
        <f>"00000000"</f>
        <v>00000000</v>
      </c>
      <c r="I1917" t="s">
        <v>35</v>
      </c>
      <c r="J1917"/>
      <c r="K1917">
        <v>5.13</v>
      </c>
      <c r="L1917">
        <v>0.0</v>
      </c>
      <c r="M1917"/>
      <c r="N1917"/>
      <c r="O1917">
        <v>0.92</v>
      </c>
      <c r="P1917">
        <v>0.2</v>
      </c>
      <c r="Q1917">
        <v>6.25</v>
      </c>
      <c r="R1917"/>
      <c r="S1917"/>
      <c r="T1917"/>
      <c r="U1917"/>
      <c r="V1917"/>
      <c r="W1917">
        <v>18</v>
      </c>
    </row>
    <row r="1918" spans="1:23">
      <c r="A1918"/>
      <c r="B1918" t="s">
        <v>64</v>
      </c>
      <c r="C1918" t="s">
        <v>64</v>
      </c>
      <c r="D1918" t="s">
        <v>33</v>
      </c>
      <c r="E1918" t="s">
        <v>34</v>
      </c>
      <c r="F1918" t="str">
        <f>"0002230"</f>
        <v>0002230</v>
      </c>
      <c r="G1918">
        <v>1</v>
      </c>
      <c r="H1918" t="str">
        <f>"00000000"</f>
        <v>00000000</v>
      </c>
      <c r="I1918" t="s">
        <v>35</v>
      </c>
      <c r="J1918"/>
      <c r="K1918">
        <v>2.98</v>
      </c>
      <c r="L1918">
        <v>0.0</v>
      </c>
      <c r="M1918"/>
      <c r="N1918"/>
      <c r="O1918">
        <v>0.54</v>
      </c>
      <c r="P1918">
        <v>0.0</v>
      </c>
      <c r="Q1918">
        <v>3.52</v>
      </c>
      <c r="R1918"/>
      <c r="S1918"/>
      <c r="T1918"/>
      <c r="U1918"/>
      <c r="V1918"/>
      <c r="W1918">
        <v>18</v>
      </c>
    </row>
    <row r="1919" spans="1:23">
      <c r="A1919"/>
      <c r="B1919" t="s">
        <v>64</v>
      </c>
      <c r="C1919" t="s">
        <v>64</v>
      </c>
      <c r="D1919" t="s">
        <v>33</v>
      </c>
      <c r="E1919" t="s">
        <v>34</v>
      </c>
      <c r="F1919" t="str">
        <f>"0002231"</f>
        <v>0002231</v>
      </c>
      <c r="G1919">
        <v>1</v>
      </c>
      <c r="H1919" t="str">
        <f>"00000000"</f>
        <v>00000000</v>
      </c>
      <c r="I1919" t="s">
        <v>35</v>
      </c>
      <c r="J1919"/>
      <c r="K1919">
        <v>2.26</v>
      </c>
      <c r="L1919">
        <v>0.0</v>
      </c>
      <c r="M1919"/>
      <c r="N1919"/>
      <c r="O1919">
        <v>0.41</v>
      </c>
      <c r="P1919">
        <v>0.0</v>
      </c>
      <c r="Q1919">
        <v>2.67</v>
      </c>
      <c r="R1919"/>
      <c r="S1919"/>
      <c r="T1919"/>
      <c r="U1919"/>
      <c r="V1919"/>
      <c r="W1919">
        <v>18</v>
      </c>
    </row>
    <row r="1920" spans="1:23">
      <c r="A1920"/>
      <c r="B1920" t="s">
        <v>64</v>
      </c>
      <c r="C1920" t="s">
        <v>64</v>
      </c>
      <c r="D1920" t="s">
        <v>33</v>
      </c>
      <c r="E1920" t="s">
        <v>34</v>
      </c>
      <c r="F1920" t="str">
        <f>"0002232"</f>
        <v>0002232</v>
      </c>
      <c r="G1920">
        <v>1</v>
      </c>
      <c r="H1920" t="str">
        <f>"00000000"</f>
        <v>00000000</v>
      </c>
      <c r="I1920" t="s">
        <v>35</v>
      </c>
      <c r="J1920"/>
      <c r="K1920">
        <v>17.75</v>
      </c>
      <c r="L1920">
        <v>0.0</v>
      </c>
      <c r="M1920"/>
      <c r="N1920"/>
      <c r="O1920">
        <v>3.2</v>
      </c>
      <c r="P1920">
        <v>0.2</v>
      </c>
      <c r="Q1920">
        <v>21.15</v>
      </c>
      <c r="R1920"/>
      <c r="S1920"/>
      <c r="T1920"/>
      <c r="U1920"/>
      <c r="V1920"/>
      <c r="W1920">
        <v>18</v>
      </c>
    </row>
    <row r="1921" spans="1:23">
      <c r="A1921"/>
      <c r="B1921" t="s">
        <v>64</v>
      </c>
      <c r="C1921" t="s">
        <v>64</v>
      </c>
      <c r="D1921" t="s">
        <v>33</v>
      </c>
      <c r="E1921" t="s">
        <v>34</v>
      </c>
      <c r="F1921" t="str">
        <f>"0002233"</f>
        <v>0002233</v>
      </c>
      <c r="G1921">
        <v>1</v>
      </c>
      <c r="H1921" t="str">
        <f>"00000000"</f>
        <v>00000000</v>
      </c>
      <c r="I1921" t="s">
        <v>35</v>
      </c>
      <c r="J1921"/>
      <c r="K1921">
        <v>18.76</v>
      </c>
      <c r="L1921">
        <v>0.0</v>
      </c>
      <c r="M1921"/>
      <c r="N1921"/>
      <c r="O1921">
        <v>3.38</v>
      </c>
      <c r="P1921">
        <v>0.0</v>
      </c>
      <c r="Q1921">
        <v>22.14</v>
      </c>
      <c r="R1921"/>
      <c r="S1921"/>
      <c r="T1921"/>
      <c r="U1921"/>
      <c r="V1921"/>
      <c r="W1921">
        <v>18</v>
      </c>
    </row>
    <row r="1922" spans="1:23">
      <c r="A1922"/>
      <c r="B1922" t="s">
        <v>64</v>
      </c>
      <c r="C1922" t="s">
        <v>64</v>
      </c>
      <c r="D1922" t="s">
        <v>33</v>
      </c>
      <c r="E1922" t="s">
        <v>34</v>
      </c>
      <c r="F1922" t="str">
        <f>"0002234"</f>
        <v>0002234</v>
      </c>
      <c r="G1922">
        <v>1</v>
      </c>
      <c r="H1922" t="str">
        <f>"00000000"</f>
        <v>00000000</v>
      </c>
      <c r="I1922" t="s">
        <v>35</v>
      </c>
      <c r="J1922"/>
      <c r="K1922">
        <v>5.93</v>
      </c>
      <c r="L1922">
        <v>0.0</v>
      </c>
      <c r="M1922"/>
      <c r="N1922"/>
      <c r="O1922">
        <v>1.07</v>
      </c>
      <c r="P1922">
        <v>0.0</v>
      </c>
      <c r="Q1922">
        <v>7.0</v>
      </c>
      <c r="R1922"/>
      <c r="S1922"/>
      <c r="T1922"/>
      <c r="U1922"/>
      <c r="V1922"/>
      <c r="W1922">
        <v>18</v>
      </c>
    </row>
    <row r="1923" spans="1:23">
      <c r="A1923"/>
      <c r="B1923" t="s">
        <v>64</v>
      </c>
      <c r="C1923" t="s">
        <v>64</v>
      </c>
      <c r="D1923" t="s">
        <v>33</v>
      </c>
      <c r="E1923" t="s">
        <v>34</v>
      </c>
      <c r="F1923" t="str">
        <f>"0002235"</f>
        <v>0002235</v>
      </c>
      <c r="G1923">
        <v>1</v>
      </c>
      <c r="H1923" t="str">
        <f>"00000000"</f>
        <v>00000000</v>
      </c>
      <c r="I1923" t="s">
        <v>35</v>
      </c>
      <c r="J1923"/>
      <c r="K1923">
        <v>19.13</v>
      </c>
      <c r="L1923">
        <v>0.0</v>
      </c>
      <c r="M1923"/>
      <c r="N1923"/>
      <c r="O1923">
        <v>3.44</v>
      </c>
      <c r="P1923">
        <v>0.0</v>
      </c>
      <c r="Q1923">
        <v>22.58</v>
      </c>
      <c r="R1923"/>
      <c r="S1923"/>
      <c r="T1923"/>
      <c r="U1923"/>
      <c r="V1923"/>
      <c r="W1923">
        <v>18</v>
      </c>
    </row>
    <row r="1924" spans="1:23">
      <c r="A1924"/>
      <c r="B1924" t="s">
        <v>64</v>
      </c>
      <c r="C1924" t="s">
        <v>64</v>
      </c>
      <c r="D1924" t="s">
        <v>33</v>
      </c>
      <c r="E1924" t="s">
        <v>34</v>
      </c>
      <c r="F1924" t="str">
        <f>"0002236"</f>
        <v>0002236</v>
      </c>
      <c r="G1924">
        <v>1</v>
      </c>
      <c r="H1924" t="str">
        <f>"00000000"</f>
        <v>00000000</v>
      </c>
      <c r="I1924" t="s">
        <v>35</v>
      </c>
      <c r="J1924"/>
      <c r="K1924">
        <v>125.92</v>
      </c>
      <c r="L1924">
        <v>0.0</v>
      </c>
      <c r="M1924"/>
      <c r="N1924"/>
      <c r="O1924">
        <v>22.67</v>
      </c>
      <c r="P1924">
        <v>0.0</v>
      </c>
      <c r="Q1924">
        <v>148.59</v>
      </c>
      <c r="R1924"/>
      <c r="S1924"/>
      <c r="T1924"/>
      <c r="U1924"/>
      <c r="V1924"/>
      <c r="W1924">
        <v>18</v>
      </c>
    </row>
    <row r="1925" spans="1:23">
      <c r="A1925"/>
      <c r="B1925" t="s">
        <v>64</v>
      </c>
      <c r="C1925" t="s">
        <v>64</v>
      </c>
      <c r="D1925" t="s">
        <v>33</v>
      </c>
      <c r="E1925" t="s">
        <v>34</v>
      </c>
      <c r="F1925" t="str">
        <f>"0002237"</f>
        <v>0002237</v>
      </c>
      <c r="G1925">
        <v>1</v>
      </c>
      <c r="H1925" t="str">
        <f>"00000000"</f>
        <v>00000000</v>
      </c>
      <c r="I1925" t="s">
        <v>35</v>
      </c>
      <c r="J1925"/>
      <c r="K1925">
        <v>1.74</v>
      </c>
      <c r="L1925">
        <v>0.0</v>
      </c>
      <c r="M1925"/>
      <c r="N1925"/>
      <c r="O1925">
        <v>0.31</v>
      </c>
      <c r="P1925">
        <v>0.0</v>
      </c>
      <c r="Q1925">
        <v>2.05</v>
      </c>
      <c r="R1925"/>
      <c r="S1925"/>
      <c r="T1925"/>
      <c r="U1925"/>
      <c r="V1925"/>
      <c r="W1925">
        <v>18</v>
      </c>
    </row>
    <row r="1926" spans="1:23">
      <c r="A1926"/>
      <c r="B1926" t="s">
        <v>64</v>
      </c>
      <c r="C1926" t="s">
        <v>64</v>
      </c>
      <c r="D1926" t="s">
        <v>33</v>
      </c>
      <c r="E1926" t="s">
        <v>34</v>
      </c>
      <c r="F1926" t="str">
        <f>"0002238"</f>
        <v>0002238</v>
      </c>
      <c r="G1926">
        <v>1</v>
      </c>
      <c r="H1926" t="str">
        <f>"00000000"</f>
        <v>00000000</v>
      </c>
      <c r="I1926" t="s">
        <v>35</v>
      </c>
      <c r="J1926"/>
      <c r="K1926">
        <v>1.45</v>
      </c>
      <c r="L1926">
        <v>0.0</v>
      </c>
      <c r="M1926"/>
      <c r="N1926"/>
      <c r="O1926">
        <v>0.26</v>
      </c>
      <c r="P1926">
        <v>0.0</v>
      </c>
      <c r="Q1926">
        <v>1.72</v>
      </c>
      <c r="R1926"/>
      <c r="S1926"/>
      <c r="T1926"/>
      <c r="U1926"/>
      <c r="V1926"/>
      <c r="W1926">
        <v>18</v>
      </c>
    </row>
    <row r="1927" spans="1:23">
      <c r="A1927"/>
      <c r="B1927" t="s">
        <v>64</v>
      </c>
      <c r="C1927" t="s">
        <v>64</v>
      </c>
      <c r="D1927" t="s">
        <v>33</v>
      </c>
      <c r="E1927" t="s">
        <v>34</v>
      </c>
      <c r="F1927" t="str">
        <f>"0002239"</f>
        <v>0002239</v>
      </c>
      <c r="G1927">
        <v>1</v>
      </c>
      <c r="H1927" t="str">
        <f>"00000000"</f>
        <v>00000000</v>
      </c>
      <c r="I1927" t="s">
        <v>35</v>
      </c>
      <c r="J1927"/>
      <c r="K1927">
        <v>8.7</v>
      </c>
      <c r="L1927">
        <v>0.0</v>
      </c>
      <c r="M1927"/>
      <c r="N1927"/>
      <c r="O1927">
        <v>1.57</v>
      </c>
      <c r="P1927">
        <v>0.0</v>
      </c>
      <c r="Q1927">
        <v>10.26</v>
      </c>
      <c r="R1927"/>
      <c r="S1927"/>
      <c r="T1927"/>
      <c r="U1927"/>
      <c r="V1927"/>
      <c r="W1927">
        <v>18</v>
      </c>
    </row>
    <row r="1928" spans="1:23">
      <c r="A1928"/>
      <c r="B1928" t="s">
        <v>64</v>
      </c>
      <c r="C1928" t="s">
        <v>64</v>
      </c>
      <c r="D1928" t="s">
        <v>33</v>
      </c>
      <c r="E1928" t="s">
        <v>34</v>
      </c>
      <c r="F1928" t="str">
        <f>"0002240"</f>
        <v>0002240</v>
      </c>
      <c r="G1928">
        <v>1</v>
      </c>
      <c r="H1928" t="str">
        <f>"00000000"</f>
        <v>00000000</v>
      </c>
      <c r="I1928" t="s">
        <v>35</v>
      </c>
      <c r="J1928"/>
      <c r="K1928">
        <v>31.3</v>
      </c>
      <c r="L1928">
        <v>0.0</v>
      </c>
      <c r="M1928"/>
      <c r="N1928"/>
      <c r="O1928">
        <v>5.63</v>
      </c>
      <c r="P1928">
        <v>0.0</v>
      </c>
      <c r="Q1928">
        <v>36.93</v>
      </c>
      <c r="R1928"/>
      <c r="S1928"/>
      <c r="T1928"/>
      <c r="U1928"/>
      <c r="V1928"/>
      <c r="W1928">
        <v>18</v>
      </c>
    </row>
    <row r="1929" spans="1:23">
      <c r="A1929"/>
      <c r="B1929" t="s">
        <v>64</v>
      </c>
      <c r="C1929" t="s">
        <v>64</v>
      </c>
      <c r="D1929" t="s">
        <v>33</v>
      </c>
      <c r="E1929" t="s">
        <v>34</v>
      </c>
      <c r="F1929" t="str">
        <f>"0002241"</f>
        <v>0002241</v>
      </c>
      <c r="G1929">
        <v>1</v>
      </c>
      <c r="H1929" t="str">
        <f>"00000000"</f>
        <v>00000000</v>
      </c>
      <c r="I1929" t="s">
        <v>35</v>
      </c>
      <c r="J1929"/>
      <c r="K1929">
        <v>45.54</v>
      </c>
      <c r="L1929">
        <v>0.0</v>
      </c>
      <c r="M1929"/>
      <c r="N1929"/>
      <c r="O1929">
        <v>8.2</v>
      </c>
      <c r="P1929">
        <v>0.0</v>
      </c>
      <c r="Q1929">
        <v>53.74</v>
      </c>
      <c r="R1929"/>
      <c r="S1929"/>
      <c r="T1929"/>
      <c r="U1929"/>
      <c r="V1929"/>
      <c r="W1929">
        <v>18</v>
      </c>
    </row>
    <row r="1930" spans="1:23">
      <c r="A1930"/>
      <c r="B1930" t="s">
        <v>64</v>
      </c>
      <c r="C1930" t="s">
        <v>64</v>
      </c>
      <c r="D1930" t="s">
        <v>33</v>
      </c>
      <c r="E1930" t="s">
        <v>34</v>
      </c>
      <c r="F1930" t="str">
        <f>"0002242"</f>
        <v>0002242</v>
      </c>
      <c r="G1930">
        <v>1</v>
      </c>
      <c r="H1930" t="str">
        <f>"00000000"</f>
        <v>00000000</v>
      </c>
      <c r="I1930" t="s">
        <v>35</v>
      </c>
      <c r="J1930"/>
      <c r="K1930">
        <v>8.88</v>
      </c>
      <c r="L1930">
        <v>0.0</v>
      </c>
      <c r="M1930"/>
      <c r="N1930"/>
      <c r="O1930">
        <v>1.6</v>
      </c>
      <c r="P1930">
        <v>0.0</v>
      </c>
      <c r="Q1930">
        <v>10.48</v>
      </c>
      <c r="R1930"/>
      <c r="S1930"/>
      <c r="T1930"/>
      <c r="U1930"/>
      <c r="V1930"/>
      <c r="W1930">
        <v>18</v>
      </c>
    </row>
    <row r="1931" spans="1:23">
      <c r="A1931"/>
      <c r="B1931" t="s">
        <v>64</v>
      </c>
      <c r="C1931" t="s">
        <v>64</v>
      </c>
      <c r="D1931" t="s">
        <v>33</v>
      </c>
      <c r="E1931" t="s">
        <v>34</v>
      </c>
      <c r="F1931" t="str">
        <f>"0002243"</f>
        <v>0002243</v>
      </c>
      <c r="G1931">
        <v>1</v>
      </c>
      <c r="H1931" t="str">
        <f>"00000000"</f>
        <v>00000000</v>
      </c>
      <c r="I1931" t="s">
        <v>35</v>
      </c>
      <c r="J1931"/>
      <c r="K1931">
        <v>17.8</v>
      </c>
      <c r="L1931">
        <v>0.0</v>
      </c>
      <c r="M1931"/>
      <c r="N1931"/>
      <c r="O1931">
        <v>3.2</v>
      </c>
      <c r="P1931">
        <v>0.0</v>
      </c>
      <c r="Q1931">
        <v>21.0</v>
      </c>
      <c r="R1931"/>
      <c r="S1931"/>
      <c r="T1931"/>
      <c r="U1931"/>
      <c r="V1931"/>
      <c r="W1931">
        <v>18</v>
      </c>
    </row>
    <row r="1932" spans="1:23">
      <c r="A1932"/>
      <c r="B1932" t="s">
        <v>64</v>
      </c>
      <c r="C1932" t="s">
        <v>64</v>
      </c>
      <c r="D1932" t="s">
        <v>33</v>
      </c>
      <c r="E1932" t="s">
        <v>34</v>
      </c>
      <c r="F1932" t="str">
        <f>"0002244"</f>
        <v>0002244</v>
      </c>
      <c r="G1932">
        <v>1</v>
      </c>
      <c r="H1932" t="str">
        <f>"00000000"</f>
        <v>00000000</v>
      </c>
      <c r="I1932" t="s">
        <v>35</v>
      </c>
      <c r="J1932"/>
      <c r="K1932">
        <v>9.39</v>
      </c>
      <c r="L1932">
        <v>0.0</v>
      </c>
      <c r="M1932"/>
      <c r="N1932"/>
      <c r="O1932">
        <v>1.69</v>
      </c>
      <c r="P1932">
        <v>0.2</v>
      </c>
      <c r="Q1932">
        <v>11.28</v>
      </c>
      <c r="R1932"/>
      <c r="S1932"/>
      <c r="T1932"/>
      <c r="U1932"/>
      <c r="V1932"/>
      <c r="W1932">
        <v>18</v>
      </c>
    </row>
    <row r="1933" spans="1:23">
      <c r="A1933"/>
      <c r="B1933" t="s">
        <v>64</v>
      </c>
      <c r="C1933" t="s">
        <v>64</v>
      </c>
      <c r="D1933" t="s">
        <v>33</v>
      </c>
      <c r="E1933" t="s">
        <v>34</v>
      </c>
      <c r="F1933" t="str">
        <f>"0002245"</f>
        <v>0002245</v>
      </c>
      <c r="G1933">
        <v>1</v>
      </c>
      <c r="H1933" t="str">
        <f>"00000000"</f>
        <v>00000000</v>
      </c>
      <c r="I1933" t="s">
        <v>35</v>
      </c>
      <c r="J1933"/>
      <c r="K1933">
        <v>6.55</v>
      </c>
      <c r="L1933">
        <v>0.0</v>
      </c>
      <c r="M1933"/>
      <c r="N1933"/>
      <c r="O1933">
        <v>1.18</v>
      </c>
      <c r="P1933">
        <v>0.2</v>
      </c>
      <c r="Q1933">
        <v>7.93</v>
      </c>
      <c r="R1933"/>
      <c r="S1933"/>
      <c r="T1933"/>
      <c r="U1933"/>
      <c r="V1933"/>
      <c r="W1933">
        <v>18</v>
      </c>
    </row>
    <row r="1934" spans="1:23">
      <c r="A1934"/>
      <c r="B1934" t="s">
        <v>64</v>
      </c>
      <c r="C1934" t="s">
        <v>64</v>
      </c>
      <c r="D1934" t="s">
        <v>33</v>
      </c>
      <c r="E1934" t="s">
        <v>34</v>
      </c>
      <c r="F1934" t="str">
        <f>"0002246"</f>
        <v>0002246</v>
      </c>
      <c r="G1934">
        <v>1</v>
      </c>
      <c r="H1934" t="str">
        <f>"00000000"</f>
        <v>00000000</v>
      </c>
      <c r="I1934" t="s">
        <v>35</v>
      </c>
      <c r="J1934"/>
      <c r="K1934">
        <v>8.27</v>
      </c>
      <c r="L1934">
        <v>0.0</v>
      </c>
      <c r="M1934"/>
      <c r="N1934"/>
      <c r="O1934">
        <v>1.49</v>
      </c>
      <c r="P1934">
        <v>0.0</v>
      </c>
      <c r="Q1934">
        <v>9.76</v>
      </c>
      <c r="R1934"/>
      <c r="S1934"/>
      <c r="T1934"/>
      <c r="U1934"/>
      <c r="V1934"/>
      <c r="W1934">
        <v>18</v>
      </c>
    </row>
    <row r="1935" spans="1:23">
      <c r="A1935"/>
      <c r="B1935" t="s">
        <v>64</v>
      </c>
      <c r="C1935" t="s">
        <v>64</v>
      </c>
      <c r="D1935" t="s">
        <v>33</v>
      </c>
      <c r="E1935" t="s">
        <v>34</v>
      </c>
      <c r="F1935" t="str">
        <f>"0002247"</f>
        <v>0002247</v>
      </c>
      <c r="G1935">
        <v>1</v>
      </c>
      <c r="H1935" t="str">
        <f>"00000000"</f>
        <v>00000000</v>
      </c>
      <c r="I1935" t="s">
        <v>35</v>
      </c>
      <c r="J1935"/>
      <c r="K1935">
        <v>10.29</v>
      </c>
      <c r="L1935">
        <v>0.0</v>
      </c>
      <c r="M1935"/>
      <c r="N1935"/>
      <c r="O1935">
        <v>1.85</v>
      </c>
      <c r="P1935">
        <v>0.0</v>
      </c>
      <c r="Q1935">
        <v>12.14</v>
      </c>
      <c r="R1935"/>
      <c r="S1935"/>
      <c r="T1935"/>
      <c r="U1935"/>
      <c r="V1935"/>
      <c r="W1935">
        <v>18</v>
      </c>
    </row>
    <row r="1936" spans="1:23">
      <c r="A1936"/>
      <c r="B1936" t="s">
        <v>64</v>
      </c>
      <c r="C1936" t="s">
        <v>64</v>
      </c>
      <c r="D1936" t="s">
        <v>33</v>
      </c>
      <c r="E1936" t="s">
        <v>34</v>
      </c>
      <c r="F1936" t="str">
        <f>"0002248"</f>
        <v>0002248</v>
      </c>
      <c r="G1936">
        <v>1</v>
      </c>
      <c r="H1936" t="str">
        <f>"00000000"</f>
        <v>00000000</v>
      </c>
      <c r="I1936" t="s">
        <v>35</v>
      </c>
      <c r="J1936"/>
      <c r="K1936">
        <v>1.27</v>
      </c>
      <c r="L1936">
        <v>0.0</v>
      </c>
      <c r="M1936"/>
      <c r="N1936"/>
      <c r="O1936">
        <v>0.23</v>
      </c>
      <c r="P1936">
        <v>0.0</v>
      </c>
      <c r="Q1936">
        <v>1.5</v>
      </c>
      <c r="R1936"/>
      <c r="S1936"/>
      <c r="T1936"/>
      <c r="U1936"/>
      <c r="V1936"/>
      <c r="W1936">
        <v>18</v>
      </c>
    </row>
    <row r="1937" spans="1:23">
      <c r="A1937"/>
      <c r="B1937" t="s">
        <v>64</v>
      </c>
      <c r="C1937" t="s">
        <v>64</v>
      </c>
      <c r="D1937" t="s">
        <v>33</v>
      </c>
      <c r="E1937" t="s">
        <v>34</v>
      </c>
      <c r="F1937" t="str">
        <f>"0002249"</f>
        <v>0002249</v>
      </c>
      <c r="G1937">
        <v>1</v>
      </c>
      <c r="H1937" t="str">
        <f>"00000000"</f>
        <v>00000000</v>
      </c>
      <c r="I1937" t="s">
        <v>35</v>
      </c>
      <c r="J1937"/>
      <c r="K1937">
        <v>6.07</v>
      </c>
      <c r="L1937">
        <v>0.0</v>
      </c>
      <c r="M1937"/>
      <c r="N1937"/>
      <c r="O1937">
        <v>1.09</v>
      </c>
      <c r="P1937">
        <v>0.0</v>
      </c>
      <c r="Q1937">
        <v>7.17</v>
      </c>
      <c r="R1937"/>
      <c r="S1937"/>
      <c r="T1937"/>
      <c r="U1937"/>
      <c r="V1937"/>
      <c r="W1937">
        <v>18</v>
      </c>
    </row>
    <row r="1938" spans="1:23">
      <c r="A1938"/>
      <c r="B1938" t="s">
        <v>64</v>
      </c>
      <c r="C1938" t="s">
        <v>64</v>
      </c>
      <c r="D1938" t="s">
        <v>33</v>
      </c>
      <c r="E1938" t="s">
        <v>34</v>
      </c>
      <c r="F1938" t="str">
        <f>"0002250"</f>
        <v>0002250</v>
      </c>
      <c r="G1938">
        <v>1</v>
      </c>
      <c r="H1938" t="str">
        <f>"00000000"</f>
        <v>00000000</v>
      </c>
      <c r="I1938" t="s">
        <v>35</v>
      </c>
      <c r="J1938"/>
      <c r="K1938">
        <v>20.12</v>
      </c>
      <c r="L1938">
        <v>0.0</v>
      </c>
      <c r="M1938"/>
      <c r="N1938"/>
      <c r="O1938">
        <v>3.62</v>
      </c>
      <c r="P1938">
        <v>0.0</v>
      </c>
      <c r="Q1938">
        <v>23.74</v>
      </c>
      <c r="R1938"/>
      <c r="S1938"/>
      <c r="T1938"/>
      <c r="U1938"/>
      <c r="V1938"/>
      <c r="W1938">
        <v>18</v>
      </c>
    </row>
    <row r="1939" spans="1:23">
      <c r="A1939"/>
      <c r="B1939" t="s">
        <v>64</v>
      </c>
      <c r="C1939" t="s">
        <v>64</v>
      </c>
      <c r="D1939" t="s">
        <v>33</v>
      </c>
      <c r="E1939" t="s">
        <v>34</v>
      </c>
      <c r="F1939" t="str">
        <f>"0002251"</f>
        <v>0002251</v>
      </c>
      <c r="G1939">
        <v>1</v>
      </c>
      <c r="H1939" t="str">
        <f>"00000000"</f>
        <v>00000000</v>
      </c>
      <c r="I1939" t="s">
        <v>35</v>
      </c>
      <c r="J1939"/>
      <c r="K1939">
        <v>1.22</v>
      </c>
      <c r="L1939">
        <v>0.0</v>
      </c>
      <c r="M1939"/>
      <c r="N1939"/>
      <c r="O1939">
        <v>0.22</v>
      </c>
      <c r="P1939">
        <v>0.0</v>
      </c>
      <c r="Q1939">
        <v>1.44</v>
      </c>
      <c r="R1939"/>
      <c r="S1939"/>
      <c r="T1939"/>
      <c r="U1939"/>
      <c r="V1939"/>
      <c r="W1939">
        <v>18</v>
      </c>
    </row>
    <row r="1940" spans="1:23">
      <c r="A1940"/>
      <c r="B1940" t="s">
        <v>64</v>
      </c>
      <c r="C1940" t="s">
        <v>64</v>
      </c>
      <c r="D1940" t="s">
        <v>33</v>
      </c>
      <c r="E1940" t="s">
        <v>34</v>
      </c>
      <c r="F1940" t="str">
        <f>"0002252"</f>
        <v>0002252</v>
      </c>
      <c r="G1940">
        <v>1</v>
      </c>
      <c r="H1940" t="str">
        <f>"00000000"</f>
        <v>00000000</v>
      </c>
      <c r="I1940" t="s">
        <v>35</v>
      </c>
      <c r="J1940"/>
      <c r="K1940">
        <v>1.88</v>
      </c>
      <c r="L1940">
        <v>0.0</v>
      </c>
      <c r="M1940"/>
      <c r="N1940"/>
      <c r="O1940">
        <v>0.34</v>
      </c>
      <c r="P1940">
        <v>0.0</v>
      </c>
      <c r="Q1940">
        <v>2.22</v>
      </c>
      <c r="R1940"/>
      <c r="S1940"/>
      <c r="T1940"/>
      <c r="U1940"/>
      <c r="V1940"/>
      <c r="W1940">
        <v>18</v>
      </c>
    </row>
    <row r="1941" spans="1:23">
      <c r="A1941"/>
      <c r="B1941" t="s">
        <v>64</v>
      </c>
      <c r="C1941" t="s">
        <v>64</v>
      </c>
      <c r="D1941" t="s">
        <v>33</v>
      </c>
      <c r="E1941" t="s">
        <v>34</v>
      </c>
      <c r="F1941" t="str">
        <f>"0002253"</f>
        <v>0002253</v>
      </c>
      <c r="G1941">
        <v>1</v>
      </c>
      <c r="H1941" t="str">
        <f>"00000000"</f>
        <v>00000000</v>
      </c>
      <c r="I1941" t="s">
        <v>35</v>
      </c>
      <c r="J1941"/>
      <c r="K1941">
        <v>6.86</v>
      </c>
      <c r="L1941">
        <v>0.0</v>
      </c>
      <c r="M1941"/>
      <c r="N1941"/>
      <c r="O1941">
        <v>1.24</v>
      </c>
      <c r="P1941">
        <v>0.0</v>
      </c>
      <c r="Q1941">
        <v>8.1</v>
      </c>
      <c r="R1941"/>
      <c r="S1941"/>
      <c r="T1941"/>
      <c r="U1941"/>
      <c r="V1941"/>
      <c r="W1941">
        <v>18</v>
      </c>
    </row>
    <row r="1942" spans="1:23">
      <c r="A1942"/>
      <c r="B1942" t="s">
        <v>64</v>
      </c>
      <c r="C1942" t="s">
        <v>64</v>
      </c>
      <c r="D1942" t="s">
        <v>33</v>
      </c>
      <c r="E1942" t="s">
        <v>34</v>
      </c>
      <c r="F1942" t="str">
        <f>"0002254"</f>
        <v>0002254</v>
      </c>
      <c r="G1942">
        <v>1</v>
      </c>
      <c r="H1942" t="str">
        <f>"00000000"</f>
        <v>00000000</v>
      </c>
      <c r="I1942" t="s">
        <v>35</v>
      </c>
      <c r="J1942"/>
      <c r="K1942">
        <v>28.56</v>
      </c>
      <c r="L1942">
        <v>0.0</v>
      </c>
      <c r="M1942"/>
      <c r="N1942"/>
      <c r="O1942">
        <v>5.14</v>
      </c>
      <c r="P1942">
        <v>0.0</v>
      </c>
      <c r="Q1942">
        <v>33.7</v>
      </c>
      <c r="R1942"/>
      <c r="S1942"/>
      <c r="T1942"/>
      <c r="U1942"/>
      <c r="V1942"/>
      <c r="W1942">
        <v>18</v>
      </c>
    </row>
    <row r="1943" spans="1:23">
      <c r="A1943"/>
      <c r="B1943" t="s">
        <v>64</v>
      </c>
      <c r="C1943" t="s">
        <v>64</v>
      </c>
      <c r="D1943" t="s">
        <v>33</v>
      </c>
      <c r="E1943" t="s">
        <v>34</v>
      </c>
      <c r="F1943" t="str">
        <f>"0002255"</f>
        <v>0002255</v>
      </c>
      <c r="G1943">
        <v>1</v>
      </c>
      <c r="H1943" t="str">
        <f>"00000000"</f>
        <v>00000000</v>
      </c>
      <c r="I1943" t="s">
        <v>35</v>
      </c>
      <c r="J1943"/>
      <c r="K1943">
        <v>4.78</v>
      </c>
      <c r="L1943">
        <v>0.0</v>
      </c>
      <c r="M1943"/>
      <c r="N1943"/>
      <c r="O1943">
        <v>0.86</v>
      </c>
      <c r="P1943">
        <v>0.0</v>
      </c>
      <c r="Q1943">
        <v>5.64</v>
      </c>
      <c r="R1943"/>
      <c r="S1943"/>
      <c r="T1943"/>
      <c r="U1943"/>
      <c r="V1943"/>
      <c r="W1943">
        <v>18</v>
      </c>
    </row>
    <row r="1944" spans="1:23">
      <c r="A1944"/>
      <c r="B1944" t="s">
        <v>64</v>
      </c>
      <c r="C1944" t="s">
        <v>64</v>
      </c>
      <c r="D1944" t="s">
        <v>33</v>
      </c>
      <c r="E1944" t="s">
        <v>34</v>
      </c>
      <c r="F1944" t="str">
        <f>"0002256"</f>
        <v>0002256</v>
      </c>
      <c r="G1944">
        <v>1</v>
      </c>
      <c r="H1944" t="str">
        <f>"00000000"</f>
        <v>00000000</v>
      </c>
      <c r="I1944" t="s">
        <v>35</v>
      </c>
      <c r="J1944"/>
      <c r="K1944">
        <v>4.31</v>
      </c>
      <c r="L1944">
        <v>0.0</v>
      </c>
      <c r="M1944"/>
      <c r="N1944"/>
      <c r="O1944">
        <v>0.77</v>
      </c>
      <c r="P1944">
        <v>0.0</v>
      </c>
      <c r="Q1944">
        <v>5.08</v>
      </c>
      <c r="R1944"/>
      <c r="S1944"/>
      <c r="T1944"/>
      <c r="U1944"/>
      <c r="V1944"/>
      <c r="W1944">
        <v>18</v>
      </c>
    </row>
    <row r="1945" spans="1:23">
      <c r="A1945"/>
      <c r="B1945" t="s">
        <v>64</v>
      </c>
      <c r="C1945" t="s">
        <v>64</v>
      </c>
      <c r="D1945" t="s">
        <v>33</v>
      </c>
      <c r="E1945" t="s">
        <v>34</v>
      </c>
      <c r="F1945" t="str">
        <f>"0002257"</f>
        <v>0002257</v>
      </c>
      <c r="G1945">
        <v>1</v>
      </c>
      <c r="H1945" t="str">
        <f>"00000000"</f>
        <v>00000000</v>
      </c>
      <c r="I1945" t="s">
        <v>35</v>
      </c>
      <c r="J1945"/>
      <c r="K1945">
        <v>22.71</v>
      </c>
      <c r="L1945">
        <v>0.0</v>
      </c>
      <c r="M1945"/>
      <c r="N1945"/>
      <c r="O1945">
        <v>4.09</v>
      </c>
      <c r="P1945">
        <v>0.0</v>
      </c>
      <c r="Q1945">
        <v>26.8</v>
      </c>
      <c r="R1945"/>
      <c r="S1945"/>
      <c r="T1945"/>
      <c r="U1945"/>
      <c r="V1945"/>
      <c r="W1945">
        <v>18</v>
      </c>
    </row>
    <row r="1946" spans="1:23">
      <c r="A1946"/>
      <c r="B1946" t="s">
        <v>64</v>
      </c>
      <c r="C1946" t="s">
        <v>64</v>
      </c>
      <c r="D1946" t="s">
        <v>33</v>
      </c>
      <c r="E1946" t="s">
        <v>34</v>
      </c>
      <c r="F1946" t="str">
        <f>"0002258"</f>
        <v>0002258</v>
      </c>
      <c r="G1946">
        <v>1</v>
      </c>
      <c r="H1946" t="str">
        <f>"00000000"</f>
        <v>00000000</v>
      </c>
      <c r="I1946" t="s">
        <v>35</v>
      </c>
      <c r="J1946"/>
      <c r="K1946">
        <v>3.39</v>
      </c>
      <c r="L1946">
        <v>0.0</v>
      </c>
      <c r="M1946"/>
      <c r="N1946"/>
      <c r="O1946">
        <v>0.61</v>
      </c>
      <c r="P1946">
        <v>0.0</v>
      </c>
      <c r="Q1946">
        <v>4.0</v>
      </c>
      <c r="R1946"/>
      <c r="S1946"/>
      <c r="T1946"/>
      <c r="U1946"/>
      <c r="V1946"/>
      <c r="W1946">
        <v>18</v>
      </c>
    </row>
    <row r="1947" spans="1:23">
      <c r="A1947"/>
      <c r="B1947" t="s">
        <v>64</v>
      </c>
      <c r="C1947" t="s">
        <v>64</v>
      </c>
      <c r="D1947" t="s">
        <v>33</v>
      </c>
      <c r="E1947" t="s">
        <v>34</v>
      </c>
      <c r="F1947" t="str">
        <f>"0002259"</f>
        <v>0002259</v>
      </c>
      <c r="G1947">
        <v>1</v>
      </c>
      <c r="H1947" t="str">
        <f>"00000000"</f>
        <v>00000000</v>
      </c>
      <c r="I1947" t="s">
        <v>35</v>
      </c>
      <c r="J1947"/>
      <c r="K1947">
        <v>22.42</v>
      </c>
      <c r="L1947">
        <v>0.0</v>
      </c>
      <c r="M1947"/>
      <c r="N1947"/>
      <c r="O1947">
        <v>4.04</v>
      </c>
      <c r="P1947">
        <v>0.0</v>
      </c>
      <c r="Q1947">
        <v>26.46</v>
      </c>
      <c r="R1947"/>
      <c r="S1947"/>
      <c r="T1947"/>
      <c r="U1947"/>
      <c r="V1947"/>
      <c r="W1947">
        <v>18</v>
      </c>
    </row>
    <row r="1948" spans="1:23">
      <c r="A1948"/>
      <c r="B1948" t="s">
        <v>64</v>
      </c>
      <c r="C1948" t="s">
        <v>64</v>
      </c>
      <c r="D1948" t="s">
        <v>33</v>
      </c>
      <c r="E1948" t="s">
        <v>34</v>
      </c>
      <c r="F1948" t="str">
        <f>"0002260"</f>
        <v>0002260</v>
      </c>
      <c r="G1948">
        <v>1</v>
      </c>
      <c r="H1948" t="str">
        <f>"00000000"</f>
        <v>00000000</v>
      </c>
      <c r="I1948" t="s">
        <v>35</v>
      </c>
      <c r="J1948"/>
      <c r="K1948">
        <v>21.18</v>
      </c>
      <c r="L1948">
        <v>0.0</v>
      </c>
      <c r="M1948"/>
      <c r="N1948"/>
      <c r="O1948">
        <v>3.81</v>
      </c>
      <c r="P1948">
        <v>0.0</v>
      </c>
      <c r="Q1948">
        <v>24.99</v>
      </c>
      <c r="R1948"/>
      <c r="S1948"/>
      <c r="T1948"/>
      <c r="U1948"/>
      <c r="V1948"/>
      <c r="W1948">
        <v>18</v>
      </c>
    </row>
    <row r="1949" spans="1:23">
      <c r="A1949"/>
      <c r="B1949" t="s">
        <v>64</v>
      </c>
      <c r="C1949" t="s">
        <v>64</v>
      </c>
      <c r="D1949" t="s">
        <v>33</v>
      </c>
      <c r="E1949" t="s">
        <v>34</v>
      </c>
      <c r="F1949" t="str">
        <f>"0002261"</f>
        <v>0002261</v>
      </c>
      <c r="G1949">
        <v>1</v>
      </c>
      <c r="H1949" t="str">
        <f>"00000000"</f>
        <v>00000000</v>
      </c>
      <c r="I1949" t="s">
        <v>35</v>
      </c>
      <c r="J1949"/>
      <c r="K1949">
        <v>2.46</v>
      </c>
      <c r="L1949">
        <v>0.0</v>
      </c>
      <c r="M1949"/>
      <c r="N1949"/>
      <c r="O1949">
        <v>0.44</v>
      </c>
      <c r="P1949">
        <v>0.0</v>
      </c>
      <c r="Q1949">
        <v>2.9</v>
      </c>
      <c r="R1949"/>
      <c r="S1949"/>
      <c r="T1949"/>
      <c r="U1949"/>
      <c r="V1949"/>
      <c r="W1949">
        <v>18</v>
      </c>
    </row>
    <row r="1950" spans="1:23">
      <c r="A1950"/>
      <c r="B1950" t="s">
        <v>64</v>
      </c>
      <c r="C1950" t="s">
        <v>64</v>
      </c>
      <c r="D1950" t="s">
        <v>36</v>
      </c>
      <c r="E1950" t="s">
        <v>37</v>
      </c>
      <c r="F1950" t="str">
        <f>"0000033"</f>
        <v>0000033</v>
      </c>
      <c r="G1950">
        <v>6</v>
      </c>
      <c r="H1950" t="str">
        <f>"20136316541"</f>
        <v>20136316541</v>
      </c>
      <c r="I1950" t="s">
        <v>47</v>
      </c>
      <c r="J1950"/>
      <c r="K1950">
        <v>12.29</v>
      </c>
      <c r="L1950">
        <v>0.0</v>
      </c>
      <c r="M1950"/>
      <c r="N1950"/>
      <c r="O1950">
        <v>2.21</v>
      </c>
      <c r="P1950">
        <v>0.0</v>
      </c>
      <c r="Q1950">
        <v>14.5</v>
      </c>
      <c r="R1950"/>
      <c r="S1950"/>
      <c r="T1950"/>
      <c r="U1950"/>
      <c r="V1950"/>
      <c r="W1950">
        <v>18</v>
      </c>
    </row>
    <row r="1951" spans="1:23">
      <c r="A1951"/>
      <c r="B1951" t="s">
        <v>64</v>
      </c>
      <c r="C1951" t="s">
        <v>64</v>
      </c>
      <c r="D1951" t="s">
        <v>33</v>
      </c>
      <c r="E1951" t="s">
        <v>34</v>
      </c>
      <c r="F1951" t="str">
        <f>"0002262"</f>
        <v>0002262</v>
      </c>
      <c r="G1951">
        <v>1</v>
      </c>
      <c r="H1951" t="str">
        <f>"00000000"</f>
        <v>00000000</v>
      </c>
      <c r="I1951" t="s">
        <v>35</v>
      </c>
      <c r="J1951"/>
      <c r="K1951">
        <v>9.15</v>
      </c>
      <c r="L1951">
        <v>0.0</v>
      </c>
      <c r="M1951"/>
      <c r="N1951"/>
      <c r="O1951">
        <v>1.65</v>
      </c>
      <c r="P1951">
        <v>0.0</v>
      </c>
      <c r="Q1951">
        <v>10.8</v>
      </c>
      <c r="R1951"/>
      <c r="S1951"/>
      <c r="T1951"/>
      <c r="U1951"/>
      <c r="V1951"/>
      <c r="W1951">
        <v>18</v>
      </c>
    </row>
    <row r="1952" spans="1:23">
      <c r="A1952"/>
      <c r="B1952" t="s">
        <v>64</v>
      </c>
      <c r="C1952" t="s">
        <v>64</v>
      </c>
      <c r="D1952" t="s">
        <v>33</v>
      </c>
      <c r="E1952" t="s">
        <v>34</v>
      </c>
      <c r="F1952" t="str">
        <f>"0002263"</f>
        <v>0002263</v>
      </c>
      <c r="G1952">
        <v>1</v>
      </c>
      <c r="H1952" t="str">
        <f>"00000000"</f>
        <v>00000000</v>
      </c>
      <c r="I1952" t="s">
        <v>35</v>
      </c>
      <c r="J1952"/>
      <c r="K1952">
        <v>48.06</v>
      </c>
      <c r="L1952">
        <v>0.0</v>
      </c>
      <c r="M1952"/>
      <c r="N1952"/>
      <c r="O1952">
        <v>8.65</v>
      </c>
      <c r="P1952">
        <v>0.0</v>
      </c>
      <c r="Q1952">
        <v>56.71</v>
      </c>
      <c r="R1952"/>
      <c r="S1952"/>
      <c r="T1952"/>
      <c r="U1952"/>
      <c r="V1952"/>
      <c r="W1952">
        <v>18</v>
      </c>
    </row>
    <row r="1953" spans="1:23">
      <c r="A1953"/>
      <c r="B1953" t="s">
        <v>64</v>
      </c>
      <c r="C1953" t="s">
        <v>64</v>
      </c>
      <c r="D1953" t="s">
        <v>33</v>
      </c>
      <c r="E1953" t="s">
        <v>34</v>
      </c>
      <c r="F1953" t="str">
        <f>"0002264"</f>
        <v>0002264</v>
      </c>
      <c r="G1953">
        <v>1</v>
      </c>
      <c r="H1953" t="str">
        <f>"00000000"</f>
        <v>00000000</v>
      </c>
      <c r="I1953" t="s">
        <v>35</v>
      </c>
      <c r="J1953"/>
      <c r="K1953">
        <v>1.1</v>
      </c>
      <c r="L1953">
        <v>0.0</v>
      </c>
      <c r="M1953"/>
      <c r="N1953"/>
      <c r="O1953">
        <v>0.2</v>
      </c>
      <c r="P1953">
        <v>0.2</v>
      </c>
      <c r="Q1953">
        <v>1.5</v>
      </c>
      <c r="R1953"/>
      <c r="S1953"/>
      <c r="T1953"/>
      <c r="U1953"/>
      <c r="V1953"/>
      <c r="W1953">
        <v>18</v>
      </c>
    </row>
    <row r="1954" spans="1:23">
      <c r="A1954"/>
      <c r="B1954" t="s">
        <v>64</v>
      </c>
      <c r="C1954" t="s">
        <v>64</v>
      </c>
      <c r="D1954" t="s">
        <v>33</v>
      </c>
      <c r="E1954" t="s">
        <v>34</v>
      </c>
      <c r="F1954" t="str">
        <f>"0002265"</f>
        <v>0002265</v>
      </c>
      <c r="G1954">
        <v>1</v>
      </c>
      <c r="H1954" t="str">
        <f>"00000000"</f>
        <v>00000000</v>
      </c>
      <c r="I1954" t="s">
        <v>35</v>
      </c>
      <c r="J1954"/>
      <c r="K1954">
        <v>4.15</v>
      </c>
      <c r="L1954">
        <v>0.0</v>
      </c>
      <c r="M1954"/>
      <c r="N1954"/>
      <c r="O1954">
        <v>0.75</v>
      </c>
      <c r="P1954">
        <v>0.0</v>
      </c>
      <c r="Q1954">
        <v>4.9</v>
      </c>
      <c r="R1954"/>
      <c r="S1954"/>
      <c r="T1954"/>
      <c r="U1954"/>
      <c r="V1954"/>
      <c r="W1954">
        <v>18</v>
      </c>
    </row>
    <row r="1955" spans="1:23">
      <c r="A1955"/>
      <c r="B1955" t="s">
        <v>64</v>
      </c>
      <c r="C1955" t="s">
        <v>64</v>
      </c>
      <c r="D1955" t="s">
        <v>33</v>
      </c>
      <c r="E1955" t="s">
        <v>34</v>
      </c>
      <c r="F1955" t="str">
        <f>"0002266"</f>
        <v>0002266</v>
      </c>
      <c r="G1955">
        <v>1</v>
      </c>
      <c r="H1955" t="str">
        <f>"00000000"</f>
        <v>00000000</v>
      </c>
      <c r="I1955" t="s">
        <v>35</v>
      </c>
      <c r="J1955"/>
      <c r="K1955">
        <v>25.41</v>
      </c>
      <c r="L1955">
        <v>0.0</v>
      </c>
      <c r="M1955"/>
      <c r="N1955"/>
      <c r="O1955">
        <v>4.57</v>
      </c>
      <c r="P1955">
        <v>0.0</v>
      </c>
      <c r="Q1955">
        <v>29.98</v>
      </c>
      <c r="R1955"/>
      <c r="S1955"/>
      <c r="T1955"/>
      <c r="U1955"/>
      <c r="V1955"/>
      <c r="W1955">
        <v>18</v>
      </c>
    </row>
    <row r="1956" spans="1:23">
      <c r="A1956"/>
      <c r="B1956" t="s">
        <v>64</v>
      </c>
      <c r="C1956" t="s">
        <v>64</v>
      </c>
      <c r="D1956" t="s">
        <v>33</v>
      </c>
      <c r="E1956" t="s">
        <v>34</v>
      </c>
      <c r="F1956" t="str">
        <f>"0002267"</f>
        <v>0002267</v>
      </c>
      <c r="G1956">
        <v>1</v>
      </c>
      <c r="H1956" t="str">
        <f>"00000000"</f>
        <v>00000000</v>
      </c>
      <c r="I1956" t="s">
        <v>35</v>
      </c>
      <c r="J1956"/>
      <c r="K1956">
        <v>42.28</v>
      </c>
      <c r="L1956">
        <v>0.0</v>
      </c>
      <c r="M1956"/>
      <c r="N1956"/>
      <c r="O1956">
        <v>7.61</v>
      </c>
      <c r="P1956">
        <v>0.0</v>
      </c>
      <c r="Q1956">
        <v>49.89</v>
      </c>
      <c r="R1956"/>
      <c r="S1956"/>
      <c r="T1956"/>
      <c r="U1956"/>
      <c r="V1956"/>
      <c r="W1956">
        <v>18</v>
      </c>
    </row>
    <row r="1957" spans="1:23">
      <c r="A1957"/>
      <c r="B1957" t="s">
        <v>64</v>
      </c>
      <c r="C1957" t="s">
        <v>64</v>
      </c>
      <c r="D1957" t="s">
        <v>33</v>
      </c>
      <c r="E1957" t="s">
        <v>34</v>
      </c>
      <c r="F1957" t="str">
        <f>"0002268"</f>
        <v>0002268</v>
      </c>
      <c r="G1957">
        <v>1</v>
      </c>
      <c r="H1957" t="str">
        <f>"00000000"</f>
        <v>00000000</v>
      </c>
      <c r="I1957" t="s">
        <v>35</v>
      </c>
      <c r="J1957"/>
      <c r="K1957">
        <v>7.2</v>
      </c>
      <c r="L1957">
        <v>0.0</v>
      </c>
      <c r="M1957"/>
      <c r="N1957"/>
      <c r="O1957">
        <v>1.3</v>
      </c>
      <c r="P1957">
        <v>0.0</v>
      </c>
      <c r="Q1957">
        <v>8.5</v>
      </c>
      <c r="R1957"/>
      <c r="S1957"/>
      <c r="T1957"/>
      <c r="U1957"/>
      <c r="V1957"/>
      <c r="W1957">
        <v>18</v>
      </c>
    </row>
    <row r="1958" spans="1:23">
      <c r="A1958"/>
      <c r="B1958" t="s">
        <v>64</v>
      </c>
      <c r="C1958" t="s">
        <v>64</v>
      </c>
      <c r="D1958" t="s">
        <v>33</v>
      </c>
      <c r="E1958" t="s">
        <v>34</v>
      </c>
      <c r="F1958" t="str">
        <f>"0002269"</f>
        <v>0002269</v>
      </c>
      <c r="G1958">
        <v>1</v>
      </c>
      <c r="H1958" t="str">
        <f>"00000000"</f>
        <v>00000000</v>
      </c>
      <c r="I1958" t="s">
        <v>35</v>
      </c>
      <c r="J1958"/>
      <c r="K1958">
        <v>101.07</v>
      </c>
      <c r="L1958">
        <v>0.0</v>
      </c>
      <c r="M1958"/>
      <c r="N1958"/>
      <c r="O1958">
        <v>18.19</v>
      </c>
      <c r="P1958">
        <v>0.0</v>
      </c>
      <c r="Q1958">
        <v>119.27</v>
      </c>
      <c r="R1958"/>
      <c r="S1958"/>
      <c r="T1958"/>
      <c r="U1958"/>
      <c r="V1958"/>
      <c r="W1958">
        <v>18</v>
      </c>
    </row>
    <row r="1959" spans="1:23">
      <c r="A1959"/>
      <c r="B1959" t="s">
        <v>64</v>
      </c>
      <c r="C1959" t="s">
        <v>64</v>
      </c>
      <c r="D1959" t="s">
        <v>33</v>
      </c>
      <c r="E1959" t="s">
        <v>34</v>
      </c>
      <c r="F1959" t="str">
        <f>"0002270"</f>
        <v>0002270</v>
      </c>
      <c r="G1959">
        <v>1</v>
      </c>
      <c r="H1959" t="str">
        <f>"00000000"</f>
        <v>00000000</v>
      </c>
      <c r="I1959" t="s">
        <v>35</v>
      </c>
      <c r="J1959"/>
      <c r="K1959">
        <v>14.32</v>
      </c>
      <c r="L1959">
        <v>0.0</v>
      </c>
      <c r="M1959"/>
      <c r="N1959"/>
      <c r="O1959">
        <v>2.58</v>
      </c>
      <c r="P1959">
        <v>0.0</v>
      </c>
      <c r="Q1959">
        <v>16.9</v>
      </c>
      <c r="R1959"/>
      <c r="S1959"/>
      <c r="T1959"/>
      <c r="U1959"/>
      <c r="V1959"/>
      <c r="W1959">
        <v>18</v>
      </c>
    </row>
    <row r="1960" spans="1:23">
      <c r="A1960"/>
      <c r="B1960" t="s">
        <v>64</v>
      </c>
      <c r="C1960" t="s">
        <v>64</v>
      </c>
      <c r="D1960" t="s">
        <v>33</v>
      </c>
      <c r="E1960" t="s">
        <v>34</v>
      </c>
      <c r="F1960" t="str">
        <f>"0002271"</f>
        <v>0002271</v>
      </c>
      <c r="G1960">
        <v>1</v>
      </c>
      <c r="H1960" t="str">
        <f>"00000000"</f>
        <v>00000000</v>
      </c>
      <c r="I1960" t="s">
        <v>35</v>
      </c>
      <c r="J1960"/>
      <c r="K1960">
        <v>20.36</v>
      </c>
      <c r="L1960">
        <v>0.0</v>
      </c>
      <c r="M1960"/>
      <c r="N1960"/>
      <c r="O1960">
        <v>3.66</v>
      </c>
      <c r="P1960">
        <v>0.2</v>
      </c>
      <c r="Q1960">
        <v>24.22</v>
      </c>
      <c r="R1960"/>
      <c r="S1960"/>
      <c r="T1960"/>
      <c r="U1960"/>
      <c r="V1960"/>
      <c r="W1960">
        <v>18</v>
      </c>
    </row>
    <row r="1961" spans="1:23">
      <c r="A1961"/>
      <c r="B1961" t="s">
        <v>64</v>
      </c>
      <c r="C1961" t="s">
        <v>64</v>
      </c>
      <c r="D1961" t="s">
        <v>33</v>
      </c>
      <c r="E1961" t="s">
        <v>34</v>
      </c>
      <c r="F1961" t="str">
        <f>"0002272"</f>
        <v>0002272</v>
      </c>
      <c r="G1961">
        <v>1</v>
      </c>
      <c r="H1961" t="str">
        <f>"00000000"</f>
        <v>00000000</v>
      </c>
      <c r="I1961" t="s">
        <v>35</v>
      </c>
      <c r="J1961"/>
      <c r="K1961">
        <v>18.53</v>
      </c>
      <c r="L1961">
        <v>0.0</v>
      </c>
      <c r="M1961"/>
      <c r="N1961"/>
      <c r="O1961">
        <v>3.33</v>
      </c>
      <c r="P1961">
        <v>0.2</v>
      </c>
      <c r="Q1961">
        <v>22.06</v>
      </c>
      <c r="R1961"/>
      <c r="S1961"/>
      <c r="T1961"/>
      <c r="U1961"/>
      <c r="V1961"/>
      <c r="W1961">
        <v>18</v>
      </c>
    </row>
    <row r="1962" spans="1:23">
      <c r="A1962"/>
      <c r="B1962" t="s">
        <v>64</v>
      </c>
      <c r="C1962" t="s">
        <v>64</v>
      </c>
      <c r="D1962" t="s">
        <v>33</v>
      </c>
      <c r="E1962" t="s">
        <v>34</v>
      </c>
      <c r="F1962" t="str">
        <f>"0002273"</f>
        <v>0002273</v>
      </c>
      <c r="G1962">
        <v>1</v>
      </c>
      <c r="H1962" t="str">
        <f>"00000000"</f>
        <v>00000000</v>
      </c>
      <c r="I1962" t="s">
        <v>35</v>
      </c>
      <c r="J1962"/>
      <c r="K1962">
        <v>11.0</v>
      </c>
      <c r="L1962">
        <v>0.0</v>
      </c>
      <c r="M1962"/>
      <c r="N1962"/>
      <c r="O1962">
        <v>1.98</v>
      </c>
      <c r="P1962">
        <v>0.0</v>
      </c>
      <c r="Q1962">
        <v>12.98</v>
      </c>
      <c r="R1962"/>
      <c r="S1962"/>
      <c r="T1962"/>
      <c r="U1962"/>
      <c r="V1962"/>
      <c r="W1962">
        <v>18</v>
      </c>
    </row>
    <row r="1963" spans="1:23">
      <c r="A1963"/>
      <c r="B1963" t="s">
        <v>64</v>
      </c>
      <c r="C1963" t="s">
        <v>64</v>
      </c>
      <c r="D1963" t="s">
        <v>33</v>
      </c>
      <c r="E1963" t="s">
        <v>34</v>
      </c>
      <c r="F1963" t="str">
        <f>"0002274"</f>
        <v>0002274</v>
      </c>
      <c r="G1963">
        <v>1</v>
      </c>
      <c r="H1963" t="str">
        <f>"00000000"</f>
        <v>00000000</v>
      </c>
      <c r="I1963" t="s">
        <v>35</v>
      </c>
      <c r="J1963"/>
      <c r="K1963">
        <v>24.99</v>
      </c>
      <c r="L1963">
        <v>0.0</v>
      </c>
      <c r="M1963"/>
      <c r="N1963"/>
      <c r="O1963">
        <v>4.5</v>
      </c>
      <c r="P1963">
        <v>0.0</v>
      </c>
      <c r="Q1963">
        <v>29.49</v>
      </c>
      <c r="R1963"/>
      <c r="S1963"/>
      <c r="T1963"/>
      <c r="U1963"/>
      <c r="V1963"/>
      <c r="W1963">
        <v>18</v>
      </c>
    </row>
    <row r="1964" spans="1:23">
      <c r="A1964"/>
      <c r="B1964" t="s">
        <v>64</v>
      </c>
      <c r="C1964" t="s">
        <v>64</v>
      </c>
      <c r="D1964" t="s">
        <v>33</v>
      </c>
      <c r="E1964" t="s">
        <v>34</v>
      </c>
      <c r="F1964" t="str">
        <f>"0002275"</f>
        <v>0002275</v>
      </c>
      <c r="G1964">
        <v>1</v>
      </c>
      <c r="H1964" t="str">
        <f>"00000000"</f>
        <v>00000000</v>
      </c>
      <c r="I1964" t="s">
        <v>35</v>
      </c>
      <c r="J1964"/>
      <c r="K1964">
        <v>85.58</v>
      </c>
      <c r="L1964">
        <v>0.0</v>
      </c>
      <c r="M1964"/>
      <c r="N1964"/>
      <c r="O1964">
        <v>15.41</v>
      </c>
      <c r="P1964">
        <v>0.6</v>
      </c>
      <c r="Q1964">
        <v>101.59</v>
      </c>
      <c r="R1964"/>
      <c r="S1964"/>
      <c r="T1964"/>
      <c r="U1964"/>
      <c r="V1964"/>
      <c r="W1964">
        <v>18</v>
      </c>
    </row>
    <row r="1965" spans="1:23">
      <c r="A1965"/>
      <c r="B1965" t="s">
        <v>64</v>
      </c>
      <c r="C1965" t="s">
        <v>64</v>
      </c>
      <c r="D1965" t="s">
        <v>33</v>
      </c>
      <c r="E1965" t="s">
        <v>34</v>
      </c>
      <c r="F1965" t="str">
        <f>"0002276"</f>
        <v>0002276</v>
      </c>
      <c r="G1965">
        <v>1</v>
      </c>
      <c r="H1965" t="str">
        <f>"00000000"</f>
        <v>00000000</v>
      </c>
      <c r="I1965" t="s">
        <v>35</v>
      </c>
      <c r="J1965"/>
      <c r="K1965">
        <v>2.03</v>
      </c>
      <c r="L1965">
        <v>0.0</v>
      </c>
      <c r="M1965"/>
      <c r="N1965"/>
      <c r="O1965">
        <v>0.37</v>
      </c>
      <c r="P1965">
        <v>0.0</v>
      </c>
      <c r="Q1965">
        <v>2.39</v>
      </c>
      <c r="R1965"/>
      <c r="S1965"/>
      <c r="T1965"/>
      <c r="U1965"/>
      <c r="V1965"/>
      <c r="W1965">
        <v>18</v>
      </c>
    </row>
    <row r="1966" spans="1:23">
      <c r="A1966"/>
      <c r="B1966" t="s">
        <v>64</v>
      </c>
      <c r="C1966" t="s">
        <v>64</v>
      </c>
      <c r="D1966" t="s">
        <v>33</v>
      </c>
      <c r="E1966" t="s">
        <v>34</v>
      </c>
      <c r="F1966" t="str">
        <f>"0002277"</f>
        <v>0002277</v>
      </c>
      <c r="G1966">
        <v>1</v>
      </c>
      <c r="H1966" t="str">
        <f>"00000000"</f>
        <v>00000000</v>
      </c>
      <c r="I1966" t="s">
        <v>35</v>
      </c>
      <c r="J1966"/>
      <c r="K1966">
        <v>19.87</v>
      </c>
      <c r="L1966">
        <v>0.0</v>
      </c>
      <c r="M1966"/>
      <c r="N1966"/>
      <c r="O1966">
        <v>3.58</v>
      </c>
      <c r="P1966">
        <v>0.0</v>
      </c>
      <c r="Q1966">
        <v>23.44</v>
      </c>
      <c r="R1966"/>
      <c r="S1966"/>
      <c r="T1966"/>
      <c r="U1966"/>
      <c r="V1966"/>
      <c r="W1966">
        <v>18</v>
      </c>
    </row>
    <row r="1967" spans="1:23">
      <c r="A1967"/>
      <c r="B1967" t="s">
        <v>64</v>
      </c>
      <c r="C1967" t="s">
        <v>64</v>
      </c>
      <c r="D1967" t="s">
        <v>33</v>
      </c>
      <c r="E1967" t="s">
        <v>34</v>
      </c>
      <c r="F1967" t="str">
        <f>"0002278"</f>
        <v>0002278</v>
      </c>
      <c r="G1967">
        <v>1</v>
      </c>
      <c r="H1967" t="str">
        <f>"00000000"</f>
        <v>00000000</v>
      </c>
      <c r="I1967" t="s">
        <v>35</v>
      </c>
      <c r="J1967"/>
      <c r="K1967">
        <v>34.5</v>
      </c>
      <c r="L1967">
        <v>0.0</v>
      </c>
      <c r="M1967"/>
      <c r="N1967"/>
      <c r="O1967">
        <v>6.21</v>
      </c>
      <c r="P1967">
        <v>0.0</v>
      </c>
      <c r="Q1967">
        <v>40.71</v>
      </c>
      <c r="R1967"/>
      <c r="S1967"/>
      <c r="T1967"/>
      <c r="U1967"/>
      <c r="V1967"/>
      <c r="W1967">
        <v>18</v>
      </c>
    </row>
    <row r="1968" spans="1:23">
      <c r="A1968"/>
      <c r="B1968" t="s">
        <v>64</v>
      </c>
      <c r="C1968" t="s">
        <v>64</v>
      </c>
      <c r="D1968" t="s">
        <v>33</v>
      </c>
      <c r="E1968" t="s">
        <v>34</v>
      </c>
      <c r="F1968" t="str">
        <f>"0002279"</f>
        <v>0002279</v>
      </c>
      <c r="G1968">
        <v>1</v>
      </c>
      <c r="H1968" t="str">
        <f>"00000000"</f>
        <v>00000000</v>
      </c>
      <c r="I1968" t="s">
        <v>35</v>
      </c>
      <c r="J1968"/>
      <c r="K1968">
        <v>2.21</v>
      </c>
      <c r="L1968">
        <v>0.0</v>
      </c>
      <c r="M1968"/>
      <c r="N1968"/>
      <c r="O1968">
        <v>0.4</v>
      </c>
      <c r="P1968">
        <v>0.0</v>
      </c>
      <c r="Q1968">
        <v>2.6</v>
      </c>
      <c r="R1968"/>
      <c r="S1968"/>
      <c r="T1968"/>
      <c r="U1968"/>
      <c r="V1968"/>
      <c r="W1968">
        <v>18</v>
      </c>
    </row>
    <row r="1969" spans="1:23">
      <c r="A1969"/>
      <c r="B1969" t="s">
        <v>64</v>
      </c>
      <c r="C1969" t="s">
        <v>64</v>
      </c>
      <c r="D1969" t="s">
        <v>33</v>
      </c>
      <c r="E1969" t="s">
        <v>34</v>
      </c>
      <c r="F1969" t="str">
        <f>"0002280"</f>
        <v>0002280</v>
      </c>
      <c r="G1969">
        <v>1</v>
      </c>
      <c r="H1969" t="str">
        <f>"00000000"</f>
        <v>00000000</v>
      </c>
      <c r="I1969" t="s">
        <v>35</v>
      </c>
      <c r="J1969"/>
      <c r="K1969">
        <v>5.69</v>
      </c>
      <c r="L1969">
        <v>0.0</v>
      </c>
      <c r="M1969"/>
      <c r="N1969"/>
      <c r="O1969">
        <v>1.03</v>
      </c>
      <c r="P1969">
        <v>0.2</v>
      </c>
      <c r="Q1969">
        <v>6.92</v>
      </c>
      <c r="R1969"/>
      <c r="S1969"/>
      <c r="T1969"/>
      <c r="U1969"/>
      <c r="V1969"/>
      <c r="W1969">
        <v>18</v>
      </c>
    </row>
    <row r="1970" spans="1:23">
      <c r="A1970"/>
      <c r="B1970" t="s">
        <v>64</v>
      </c>
      <c r="C1970" t="s">
        <v>64</v>
      </c>
      <c r="D1970" t="s">
        <v>33</v>
      </c>
      <c r="E1970" t="s">
        <v>34</v>
      </c>
      <c r="F1970" t="str">
        <f>"0002281"</f>
        <v>0002281</v>
      </c>
      <c r="G1970">
        <v>1</v>
      </c>
      <c r="H1970" t="str">
        <f>"00000000"</f>
        <v>00000000</v>
      </c>
      <c r="I1970" t="s">
        <v>35</v>
      </c>
      <c r="J1970"/>
      <c r="K1970">
        <v>14.83</v>
      </c>
      <c r="L1970">
        <v>0.0</v>
      </c>
      <c r="M1970"/>
      <c r="N1970"/>
      <c r="O1970">
        <v>2.67</v>
      </c>
      <c r="P1970">
        <v>0.2</v>
      </c>
      <c r="Q1970">
        <v>17.7</v>
      </c>
      <c r="R1970"/>
      <c r="S1970"/>
      <c r="T1970"/>
      <c r="U1970"/>
      <c r="V1970"/>
      <c r="W1970">
        <v>18</v>
      </c>
    </row>
    <row r="1971" spans="1:23">
      <c r="A1971"/>
      <c r="B1971" t="s">
        <v>64</v>
      </c>
      <c r="C1971" t="s">
        <v>64</v>
      </c>
      <c r="D1971" t="s">
        <v>33</v>
      </c>
      <c r="E1971" t="s">
        <v>34</v>
      </c>
      <c r="F1971" t="str">
        <f>"0002282"</f>
        <v>0002282</v>
      </c>
      <c r="G1971">
        <v>1</v>
      </c>
      <c r="H1971" t="str">
        <f>"00000000"</f>
        <v>00000000</v>
      </c>
      <c r="I1971" t="s">
        <v>35</v>
      </c>
      <c r="J1971"/>
      <c r="K1971">
        <v>0.85</v>
      </c>
      <c r="L1971">
        <v>0.0</v>
      </c>
      <c r="M1971"/>
      <c r="N1971"/>
      <c r="O1971">
        <v>0.15</v>
      </c>
      <c r="P1971">
        <v>0.0</v>
      </c>
      <c r="Q1971">
        <v>1.0</v>
      </c>
      <c r="R1971"/>
      <c r="S1971"/>
      <c r="T1971"/>
      <c r="U1971"/>
      <c r="V1971"/>
      <c r="W1971">
        <v>18</v>
      </c>
    </row>
    <row r="1972" spans="1:23">
      <c r="A1972"/>
      <c r="B1972" t="s">
        <v>64</v>
      </c>
      <c r="C1972" t="s">
        <v>64</v>
      </c>
      <c r="D1972" t="s">
        <v>33</v>
      </c>
      <c r="E1972" t="s">
        <v>34</v>
      </c>
      <c r="F1972" t="str">
        <f>"0002283"</f>
        <v>0002283</v>
      </c>
      <c r="G1972">
        <v>1</v>
      </c>
      <c r="H1972" t="str">
        <f>"00000000"</f>
        <v>00000000</v>
      </c>
      <c r="I1972" t="s">
        <v>35</v>
      </c>
      <c r="J1972"/>
      <c r="K1972">
        <v>5.88</v>
      </c>
      <c r="L1972">
        <v>0.0</v>
      </c>
      <c r="M1972"/>
      <c r="N1972"/>
      <c r="O1972">
        <v>1.06</v>
      </c>
      <c r="P1972">
        <v>0.2</v>
      </c>
      <c r="Q1972">
        <v>7.14</v>
      </c>
      <c r="R1972"/>
      <c r="S1972"/>
      <c r="T1972"/>
      <c r="U1972"/>
      <c r="V1972"/>
      <c r="W1972">
        <v>18</v>
      </c>
    </row>
    <row r="1973" spans="1:23">
      <c r="A1973"/>
      <c r="B1973" t="s">
        <v>64</v>
      </c>
      <c r="C1973" t="s">
        <v>64</v>
      </c>
      <c r="D1973" t="s">
        <v>33</v>
      </c>
      <c r="E1973" t="s">
        <v>34</v>
      </c>
      <c r="F1973" t="str">
        <f>"0002284"</f>
        <v>0002284</v>
      </c>
      <c r="G1973">
        <v>1</v>
      </c>
      <c r="H1973" t="str">
        <f>"00000000"</f>
        <v>00000000</v>
      </c>
      <c r="I1973" t="s">
        <v>35</v>
      </c>
      <c r="J1973"/>
      <c r="K1973">
        <v>34.75</v>
      </c>
      <c r="L1973">
        <v>0.0</v>
      </c>
      <c r="M1973"/>
      <c r="N1973"/>
      <c r="O1973">
        <v>6.25</v>
      </c>
      <c r="P1973">
        <v>0.0</v>
      </c>
      <c r="Q1973">
        <v>41.0</v>
      </c>
      <c r="R1973"/>
      <c r="S1973"/>
      <c r="T1973"/>
      <c r="U1973"/>
      <c r="V1973"/>
      <c r="W1973">
        <v>18</v>
      </c>
    </row>
    <row r="1974" spans="1:23">
      <c r="A1974"/>
      <c r="B1974" t="s">
        <v>64</v>
      </c>
      <c r="C1974" t="s">
        <v>64</v>
      </c>
      <c r="D1974" t="s">
        <v>33</v>
      </c>
      <c r="E1974" t="s">
        <v>34</v>
      </c>
      <c r="F1974" t="str">
        <f>"0002285"</f>
        <v>0002285</v>
      </c>
      <c r="G1974">
        <v>1</v>
      </c>
      <c r="H1974" t="str">
        <f>"00000000"</f>
        <v>00000000</v>
      </c>
      <c r="I1974" t="s">
        <v>35</v>
      </c>
      <c r="J1974"/>
      <c r="K1974">
        <v>37.28</v>
      </c>
      <c r="L1974">
        <v>0.0</v>
      </c>
      <c r="M1974"/>
      <c r="N1974"/>
      <c r="O1974">
        <v>6.71</v>
      </c>
      <c r="P1974">
        <v>0.0</v>
      </c>
      <c r="Q1974">
        <v>43.99</v>
      </c>
      <c r="R1974"/>
      <c r="S1974"/>
      <c r="T1974"/>
      <c r="U1974"/>
      <c r="V1974"/>
      <c r="W1974">
        <v>18</v>
      </c>
    </row>
    <row r="1975" spans="1:23">
      <c r="A1975"/>
      <c r="B1975" t="s">
        <v>64</v>
      </c>
      <c r="C1975" t="s">
        <v>64</v>
      </c>
      <c r="D1975" t="s">
        <v>33</v>
      </c>
      <c r="E1975" t="s">
        <v>34</v>
      </c>
      <c r="F1975" t="str">
        <f>"0002286"</f>
        <v>0002286</v>
      </c>
      <c r="G1975">
        <v>1</v>
      </c>
      <c r="H1975" t="str">
        <f>"00000000"</f>
        <v>00000000</v>
      </c>
      <c r="I1975" t="s">
        <v>35</v>
      </c>
      <c r="J1975"/>
      <c r="K1975">
        <v>31.27</v>
      </c>
      <c r="L1975">
        <v>0.0</v>
      </c>
      <c r="M1975"/>
      <c r="N1975"/>
      <c r="O1975">
        <v>5.63</v>
      </c>
      <c r="P1975">
        <v>0.0</v>
      </c>
      <c r="Q1975">
        <v>36.9</v>
      </c>
      <c r="R1975"/>
      <c r="S1975"/>
      <c r="T1975"/>
      <c r="U1975"/>
      <c r="V1975"/>
      <c r="W1975">
        <v>18</v>
      </c>
    </row>
    <row r="1976" spans="1:23">
      <c r="A1976"/>
      <c r="B1976" t="s">
        <v>64</v>
      </c>
      <c r="C1976" t="s">
        <v>64</v>
      </c>
      <c r="D1976" t="s">
        <v>33</v>
      </c>
      <c r="E1976" t="s">
        <v>34</v>
      </c>
      <c r="F1976" t="str">
        <f>"0002287"</f>
        <v>0002287</v>
      </c>
      <c r="G1976">
        <v>1</v>
      </c>
      <c r="H1976" t="str">
        <f>"00000000"</f>
        <v>00000000</v>
      </c>
      <c r="I1976" t="s">
        <v>35</v>
      </c>
      <c r="J1976"/>
      <c r="K1976">
        <v>10.08</v>
      </c>
      <c r="L1976">
        <v>0.0</v>
      </c>
      <c r="M1976"/>
      <c r="N1976"/>
      <c r="O1976">
        <v>1.82</v>
      </c>
      <c r="P1976">
        <v>0.0</v>
      </c>
      <c r="Q1976">
        <v>11.9</v>
      </c>
      <c r="R1976"/>
      <c r="S1976"/>
      <c r="T1976"/>
      <c r="U1976"/>
      <c r="V1976"/>
      <c r="W1976">
        <v>18</v>
      </c>
    </row>
    <row r="1977" spans="1:23">
      <c r="A1977"/>
      <c r="B1977" t="s">
        <v>64</v>
      </c>
      <c r="C1977" t="s">
        <v>64</v>
      </c>
      <c r="D1977" t="s">
        <v>33</v>
      </c>
      <c r="E1977" t="s">
        <v>34</v>
      </c>
      <c r="F1977" t="str">
        <f>"0002288"</f>
        <v>0002288</v>
      </c>
      <c r="G1977">
        <v>1</v>
      </c>
      <c r="H1977" t="str">
        <f>"00000000"</f>
        <v>00000000</v>
      </c>
      <c r="I1977" t="s">
        <v>35</v>
      </c>
      <c r="J1977"/>
      <c r="K1977">
        <v>1.61</v>
      </c>
      <c r="L1977">
        <v>0.0</v>
      </c>
      <c r="M1977"/>
      <c r="N1977"/>
      <c r="O1977">
        <v>0.29</v>
      </c>
      <c r="P1977">
        <v>0.0</v>
      </c>
      <c r="Q1977">
        <v>1.9</v>
      </c>
      <c r="R1977"/>
      <c r="S1977"/>
      <c r="T1977"/>
      <c r="U1977"/>
      <c r="V1977"/>
      <c r="W1977">
        <v>18</v>
      </c>
    </row>
    <row r="1978" spans="1:23">
      <c r="A1978"/>
      <c r="B1978" t="s">
        <v>64</v>
      </c>
      <c r="C1978" t="s">
        <v>64</v>
      </c>
      <c r="D1978" t="s">
        <v>33</v>
      </c>
      <c r="E1978" t="s">
        <v>34</v>
      </c>
      <c r="F1978" t="str">
        <f>"0002289"</f>
        <v>0002289</v>
      </c>
      <c r="G1978">
        <v>1</v>
      </c>
      <c r="H1978" t="str">
        <f>"00000000"</f>
        <v>00000000</v>
      </c>
      <c r="I1978" t="s">
        <v>35</v>
      </c>
      <c r="J1978"/>
      <c r="K1978">
        <v>5.08</v>
      </c>
      <c r="L1978">
        <v>0.0</v>
      </c>
      <c r="M1978"/>
      <c r="N1978"/>
      <c r="O1978">
        <v>0.92</v>
      </c>
      <c r="P1978">
        <v>0.0</v>
      </c>
      <c r="Q1978">
        <v>6.0</v>
      </c>
      <c r="R1978"/>
      <c r="S1978"/>
      <c r="T1978"/>
      <c r="U1978"/>
      <c r="V1978"/>
      <c r="W1978">
        <v>18</v>
      </c>
    </row>
    <row r="1979" spans="1:23">
      <c r="A1979"/>
      <c r="B1979" t="s">
        <v>64</v>
      </c>
      <c r="C1979" t="s">
        <v>64</v>
      </c>
      <c r="D1979" t="s">
        <v>33</v>
      </c>
      <c r="E1979" t="s">
        <v>34</v>
      </c>
      <c r="F1979" t="str">
        <f>"0002290"</f>
        <v>0002290</v>
      </c>
      <c r="G1979">
        <v>1</v>
      </c>
      <c r="H1979" t="str">
        <f>"00000000"</f>
        <v>00000000</v>
      </c>
      <c r="I1979" t="s">
        <v>35</v>
      </c>
      <c r="J1979"/>
      <c r="K1979">
        <v>9.32</v>
      </c>
      <c r="L1979">
        <v>0.0</v>
      </c>
      <c r="M1979"/>
      <c r="N1979"/>
      <c r="O1979">
        <v>1.68</v>
      </c>
      <c r="P1979">
        <v>0.0</v>
      </c>
      <c r="Q1979">
        <v>11.0</v>
      </c>
      <c r="R1979"/>
      <c r="S1979"/>
      <c r="T1979"/>
      <c r="U1979"/>
      <c r="V1979"/>
      <c r="W1979">
        <v>18</v>
      </c>
    </row>
    <row r="1980" spans="1:23">
      <c r="A1980"/>
      <c r="B1980" t="s">
        <v>64</v>
      </c>
      <c r="C1980" t="s">
        <v>64</v>
      </c>
      <c r="D1980" t="s">
        <v>33</v>
      </c>
      <c r="E1980" t="s">
        <v>34</v>
      </c>
      <c r="F1980" t="str">
        <f>"0002291"</f>
        <v>0002291</v>
      </c>
      <c r="G1980">
        <v>1</v>
      </c>
      <c r="H1980" t="str">
        <f>"00000000"</f>
        <v>00000000</v>
      </c>
      <c r="I1980" t="s">
        <v>35</v>
      </c>
      <c r="J1980"/>
      <c r="K1980">
        <v>1.86</v>
      </c>
      <c r="L1980">
        <v>0.0</v>
      </c>
      <c r="M1980"/>
      <c r="N1980"/>
      <c r="O1980">
        <v>0.34</v>
      </c>
      <c r="P1980">
        <v>0.0</v>
      </c>
      <c r="Q1980">
        <v>2.2</v>
      </c>
      <c r="R1980"/>
      <c r="S1980"/>
      <c r="T1980"/>
      <c r="U1980"/>
      <c r="V1980"/>
      <c r="W1980">
        <v>18</v>
      </c>
    </row>
    <row r="1981" spans="1:23">
      <c r="A1981"/>
      <c r="B1981" t="s">
        <v>64</v>
      </c>
      <c r="C1981" t="s">
        <v>64</v>
      </c>
      <c r="D1981" t="s">
        <v>33</v>
      </c>
      <c r="E1981" t="s">
        <v>34</v>
      </c>
      <c r="F1981" t="str">
        <f>"0002292"</f>
        <v>0002292</v>
      </c>
      <c r="G1981">
        <v>1</v>
      </c>
      <c r="H1981" t="str">
        <f>"00000000"</f>
        <v>00000000</v>
      </c>
      <c r="I1981" t="s">
        <v>35</v>
      </c>
      <c r="J1981"/>
      <c r="K1981">
        <v>18.15</v>
      </c>
      <c r="L1981">
        <v>0.0</v>
      </c>
      <c r="M1981"/>
      <c r="N1981"/>
      <c r="O1981">
        <v>3.27</v>
      </c>
      <c r="P1981">
        <v>0.0</v>
      </c>
      <c r="Q1981">
        <v>21.42</v>
      </c>
      <c r="R1981"/>
      <c r="S1981"/>
      <c r="T1981"/>
      <c r="U1981"/>
      <c r="V1981"/>
      <c r="W1981">
        <v>18</v>
      </c>
    </row>
    <row r="1982" spans="1:23">
      <c r="A1982"/>
      <c r="B1982" t="s">
        <v>64</v>
      </c>
      <c r="C1982" t="s">
        <v>64</v>
      </c>
      <c r="D1982" t="s">
        <v>33</v>
      </c>
      <c r="E1982" t="s">
        <v>34</v>
      </c>
      <c r="F1982" t="str">
        <f>"0002293"</f>
        <v>0002293</v>
      </c>
      <c r="G1982">
        <v>1</v>
      </c>
      <c r="H1982" t="str">
        <f>"00000000"</f>
        <v>00000000</v>
      </c>
      <c r="I1982" t="s">
        <v>35</v>
      </c>
      <c r="J1982"/>
      <c r="K1982">
        <v>1.69</v>
      </c>
      <c r="L1982">
        <v>0.0</v>
      </c>
      <c r="M1982"/>
      <c r="N1982"/>
      <c r="O1982">
        <v>0.31</v>
      </c>
      <c r="P1982">
        <v>0.0</v>
      </c>
      <c r="Q1982">
        <v>2.0</v>
      </c>
      <c r="R1982"/>
      <c r="S1982"/>
      <c r="T1982"/>
      <c r="U1982"/>
      <c r="V1982"/>
      <c r="W1982">
        <v>18</v>
      </c>
    </row>
    <row r="1983" spans="1:23">
      <c r="A1983"/>
      <c r="B1983" t="s">
        <v>64</v>
      </c>
      <c r="C1983" t="s">
        <v>64</v>
      </c>
      <c r="D1983" t="s">
        <v>33</v>
      </c>
      <c r="E1983" t="s">
        <v>34</v>
      </c>
      <c r="F1983" t="str">
        <f>"0002294"</f>
        <v>0002294</v>
      </c>
      <c r="G1983">
        <v>1</v>
      </c>
      <c r="H1983" t="str">
        <f>"00000000"</f>
        <v>00000000</v>
      </c>
      <c r="I1983" t="s">
        <v>35</v>
      </c>
      <c r="J1983"/>
      <c r="K1983">
        <v>34.75</v>
      </c>
      <c r="L1983">
        <v>0.0</v>
      </c>
      <c r="M1983"/>
      <c r="N1983"/>
      <c r="O1983">
        <v>6.26</v>
      </c>
      <c r="P1983">
        <v>0.2</v>
      </c>
      <c r="Q1983">
        <v>41.21</v>
      </c>
      <c r="R1983"/>
      <c r="S1983"/>
      <c r="T1983"/>
      <c r="U1983"/>
      <c r="V1983"/>
      <c r="W1983">
        <v>18</v>
      </c>
    </row>
    <row r="1984" spans="1:23">
      <c r="A1984"/>
      <c r="B1984" t="s">
        <v>64</v>
      </c>
      <c r="C1984" t="s">
        <v>64</v>
      </c>
      <c r="D1984" t="s">
        <v>33</v>
      </c>
      <c r="E1984" t="s">
        <v>34</v>
      </c>
      <c r="F1984" t="str">
        <f>"0002295"</f>
        <v>0002295</v>
      </c>
      <c r="G1984">
        <v>1</v>
      </c>
      <c r="H1984" t="str">
        <f>"00000000"</f>
        <v>00000000</v>
      </c>
      <c r="I1984" t="s">
        <v>35</v>
      </c>
      <c r="J1984"/>
      <c r="K1984">
        <v>2.75</v>
      </c>
      <c r="L1984">
        <v>0.0</v>
      </c>
      <c r="M1984"/>
      <c r="N1984"/>
      <c r="O1984">
        <v>0.5</v>
      </c>
      <c r="P1984">
        <v>0.0</v>
      </c>
      <c r="Q1984">
        <v>3.25</v>
      </c>
      <c r="R1984"/>
      <c r="S1984"/>
      <c r="T1984"/>
      <c r="U1984"/>
      <c r="V1984"/>
      <c r="W1984">
        <v>18</v>
      </c>
    </row>
    <row r="1985" spans="1:23">
      <c r="A1985"/>
      <c r="B1985" t="s">
        <v>64</v>
      </c>
      <c r="C1985" t="s">
        <v>64</v>
      </c>
      <c r="D1985" t="s">
        <v>33</v>
      </c>
      <c r="E1985" t="s">
        <v>34</v>
      </c>
      <c r="F1985" t="str">
        <f>"0002296"</f>
        <v>0002296</v>
      </c>
      <c r="G1985">
        <v>1</v>
      </c>
      <c r="H1985" t="str">
        <f>"00000000"</f>
        <v>00000000</v>
      </c>
      <c r="I1985" t="s">
        <v>35</v>
      </c>
      <c r="J1985"/>
      <c r="K1985">
        <v>5.95</v>
      </c>
      <c r="L1985">
        <v>0.0</v>
      </c>
      <c r="M1985"/>
      <c r="N1985"/>
      <c r="O1985">
        <v>1.07</v>
      </c>
      <c r="P1985">
        <v>0.2</v>
      </c>
      <c r="Q1985">
        <v>7.22</v>
      </c>
      <c r="R1985"/>
      <c r="S1985"/>
      <c r="T1985"/>
      <c r="U1985"/>
      <c r="V1985"/>
      <c r="W1985">
        <v>18</v>
      </c>
    </row>
    <row r="1986" spans="1:23">
      <c r="A1986"/>
      <c r="B1986" t="s">
        <v>64</v>
      </c>
      <c r="C1986" t="s">
        <v>64</v>
      </c>
      <c r="D1986" t="s">
        <v>33</v>
      </c>
      <c r="E1986" t="s">
        <v>34</v>
      </c>
      <c r="F1986" t="str">
        <f>"0002297"</f>
        <v>0002297</v>
      </c>
      <c r="G1986">
        <v>1</v>
      </c>
      <c r="H1986" t="str">
        <f>"00000000"</f>
        <v>00000000</v>
      </c>
      <c r="I1986" t="s">
        <v>35</v>
      </c>
      <c r="J1986"/>
      <c r="K1986">
        <v>7.98</v>
      </c>
      <c r="L1986">
        <v>0.0</v>
      </c>
      <c r="M1986"/>
      <c r="N1986"/>
      <c r="O1986">
        <v>1.44</v>
      </c>
      <c r="P1986">
        <v>0.2</v>
      </c>
      <c r="Q1986">
        <v>9.62</v>
      </c>
      <c r="R1986"/>
      <c r="S1986"/>
      <c r="T1986"/>
      <c r="U1986"/>
      <c r="V1986"/>
      <c r="W1986">
        <v>18</v>
      </c>
    </row>
    <row r="1987" spans="1:23">
      <c r="A1987"/>
      <c r="B1987" t="s">
        <v>64</v>
      </c>
      <c r="C1987" t="s">
        <v>64</v>
      </c>
      <c r="D1987" t="s">
        <v>33</v>
      </c>
      <c r="E1987" t="s">
        <v>34</v>
      </c>
      <c r="F1987" t="str">
        <f>"0002298"</f>
        <v>0002298</v>
      </c>
      <c r="G1987">
        <v>1</v>
      </c>
      <c r="H1987" t="str">
        <f>"00000000"</f>
        <v>00000000</v>
      </c>
      <c r="I1987" t="s">
        <v>35</v>
      </c>
      <c r="J1987"/>
      <c r="K1987">
        <v>4.78</v>
      </c>
      <c r="L1987">
        <v>0.0</v>
      </c>
      <c r="M1987"/>
      <c r="N1987"/>
      <c r="O1987">
        <v>0.86</v>
      </c>
      <c r="P1987">
        <v>0.0</v>
      </c>
      <c r="Q1987">
        <v>5.63</v>
      </c>
      <c r="R1987"/>
      <c r="S1987"/>
      <c r="T1987"/>
      <c r="U1987"/>
      <c r="V1987"/>
      <c r="W1987">
        <v>18</v>
      </c>
    </row>
    <row r="1988" spans="1:23">
      <c r="A1988"/>
      <c r="B1988" t="s">
        <v>64</v>
      </c>
      <c r="C1988" t="s">
        <v>64</v>
      </c>
      <c r="D1988" t="s">
        <v>33</v>
      </c>
      <c r="E1988" t="s">
        <v>34</v>
      </c>
      <c r="F1988" t="str">
        <f>"0002299"</f>
        <v>0002299</v>
      </c>
      <c r="G1988">
        <v>1</v>
      </c>
      <c r="H1988" t="str">
        <f>"00000000"</f>
        <v>00000000</v>
      </c>
      <c r="I1988" t="s">
        <v>35</v>
      </c>
      <c r="J1988"/>
      <c r="K1988">
        <v>0.85</v>
      </c>
      <c r="L1988">
        <v>0.0</v>
      </c>
      <c r="M1988"/>
      <c r="N1988"/>
      <c r="O1988">
        <v>0.15</v>
      </c>
      <c r="P1988">
        <v>0.0</v>
      </c>
      <c r="Q1988">
        <v>1.0</v>
      </c>
      <c r="R1988"/>
      <c r="S1988"/>
      <c r="T1988"/>
      <c r="U1988"/>
      <c r="V1988"/>
      <c r="W1988">
        <v>18</v>
      </c>
    </row>
    <row r="1989" spans="1:23">
      <c r="A1989"/>
      <c r="B1989" t="s">
        <v>64</v>
      </c>
      <c r="C1989" t="s">
        <v>64</v>
      </c>
      <c r="D1989" t="s">
        <v>33</v>
      </c>
      <c r="E1989" t="s">
        <v>34</v>
      </c>
      <c r="F1989" t="str">
        <f>"0002300"</f>
        <v>0002300</v>
      </c>
      <c r="G1989">
        <v>1</v>
      </c>
      <c r="H1989" t="str">
        <f>"00000000"</f>
        <v>00000000</v>
      </c>
      <c r="I1989" t="s">
        <v>35</v>
      </c>
      <c r="J1989"/>
      <c r="K1989">
        <v>9.59</v>
      </c>
      <c r="L1989">
        <v>0.0</v>
      </c>
      <c r="M1989"/>
      <c r="N1989"/>
      <c r="O1989">
        <v>1.73</v>
      </c>
      <c r="P1989">
        <v>0.2</v>
      </c>
      <c r="Q1989">
        <v>11.52</v>
      </c>
      <c r="R1989"/>
      <c r="S1989"/>
      <c r="T1989"/>
      <c r="U1989"/>
      <c r="V1989"/>
      <c r="W1989">
        <v>18</v>
      </c>
    </row>
    <row r="1990" spans="1:23">
      <c r="A1990"/>
      <c r="B1990" t="s">
        <v>64</v>
      </c>
      <c r="C1990" t="s">
        <v>64</v>
      </c>
      <c r="D1990" t="s">
        <v>33</v>
      </c>
      <c r="E1990" t="s">
        <v>34</v>
      </c>
      <c r="F1990" t="str">
        <f>"0002301"</f>
        <v>0002301</v>
      </c>
      <c r="G1990">
        <v>1</v>
      </c>
      <c r="H1990" t="str">
        <f>"00000000"</f>
        <v>00000000</v>
      </c>
      <c r="I1990" t="s">
        <v>35</v>
      </c>
      <c r="J1990"/>
      <c r="K1990">
        <v>29.95</v>
      </c>
      <c r="L1990">
        <v>0.0</v>
      </c>
      <c r="M1990"/>
      <c r="N1990"/>
      <c r="O1990">
        <v>5.39</v>
      </c>
      <c r="P1990">
        <v>0.0</v>
      </c>
      <c r="Q1990">
        <v>35.34</v>
      </c>
      <c r="R1990"/>
      <c r="S1990"/>
      <c r="T1990"/>
      <c r="U1990"/>
      <c r="V1990"/>
      <c r="W1990">
        <v>18</v>
      </c>
    </row>
    <row r="1991" spans="1:23">
      <c r="A1991"/>
      <c r="B1991" t="s">
        <v>64</v>
      </c>
      <c r="C1991" t="s">
        <v>64</v>
      </c>
      <c r="D1991" t="s">
        <v>33</v>
      </c>
      <c r="E1991" t="s">
        <v>34</v>
      </c>
      <c r="F1991" t="str">
        <f>"0002302"</f>
        <v>0002302</v>
      </c>
      <c r="G1991">
        <v>1</v>
      </c>
      <c r="H1991" t="str">
        <f>"00000000"</f>
        <v>00000000</v>
      </c>
      <c r="I1991" t="s">
        <v>35</v>
      </c>
      <c r="J1991"/>
      <c r="K1991">
        <v>8.14</v>
      </c>
      <c r="L1991">
        <v>0.0</v>
      </c>
      <c r="M1991"/>
      <c r="N1991"/>
      <c r="O1991">
        <v>1.46</v>
      </c>
      <c r="P1991">
        <v>0.0</v>
      </c>
      <c r="Q1991">
        <v>9.6</v>
      </c>
      <c r="R1991"/>
      <c r="S1991"/>
      <c r="T1991"/>
      <c r="U1991"/>
      <c r="V1991"/>
      <c r="W1991">
        <v>18</v>
      </c>
    </row>
    <row r="1992" spans="1:23">
      <c r="A1992"/>
      <c r="B1992" t="s">
        <v>64</v>
      </c>
      <c r="C1992" t="s">
        <v>64</v>
      </c>
      <c r="D1992" t="s">
        <v>33</v>
      </c>
      <c r="E1992" t="s">
        <v>34</v>
      </c>
      <c r="F1992" t="str">
        <f>"0002303"</f>
        <v>0002303</v>
      </c>
      <c r="G1992">
        <v>1</v>
      </c>
      <c r="H1992" t="str">
        <f>"00000000"</f>
        <v>00000000</v>
      </c>
      <c r="I1992" t="s">
        <v>35</v>
      </c>
      <c r="J1992"/>
      <c r="K1992">
        <v>16.16</v>
      </c>
      <c r="L1992">
        <v>0.0</v>
      </c>
      <c r="M1992"/>
      <c r="N1992"/>
      <c r="O1992">
        <v>2.91</v>
      </c>
      <c r="P1992">
        <v>0.2</v>
      </c>
      <c r="Q1992">
        <v>19.27</v>
      </c>
      <c r="R1992"/>
      <c r="S1992"/>
      <c r="T1992"/>
      <c r="U1992"/>
      <c r="V1992"/>
      <c r="W1992">
        <v>18</v>
      </c>
    </row>
    <row r="1993" spans="1:23">
      <c r="A1993"/>
      <c r="B1993" t="s">
        <v>64</v>
      </c>
      <c r="C1993" t="s">
        <v>64</v>
      </c>
      <c r="D1993" t="s">
        <v>33</v>
      </c>
      <c r="E1993" t="s">
        <v>34</v>
      </c>
      <c r="F1993" t="str">
        <f>"0002304"</f>
        <v>0002304</v>
      </c>
      <c r="G1993">
        <v>1</v>
      </c>
      <c r="H1993" t="str">
        <f>"00000000"</f>
        <v>00000000</v>
      </c>
      <c r="I1993" t="s">
        <v>35</v>
      </c>
      <c r="J1993"/>
      <c r="K1993">
        <v>14.58</v>
      </c>
      <c r="L1993">
        <v>0.0</v>
      </c>
      <c r="M1993"/>
      <c r="N1993"/>
      <c r="O1993">
        <v>2.62</v>
      </c>
      <c r="P1993">
        <v>0.2</v>
      </c>
      <c r="Q1993">
        <v>17.41</v>
      </c>
      <c r="R1993"/>
      <c r="S1993"/>
      <c r="T1993"/>
      <c r="U1993"/>
      <c r="V1993"/>
      <c r="W1993">
        <v>18</v>
      </c>
    </row>
    <row r="1994" spans="1:23">
      <c r="A1994"/>
      <c r="B1994" t="s">
        <v>64</v>
      </c>
      <c r="C1994" t="s">
        <v>64</v>
      </c>
      <c r="D1994" t="s">
        <v>33</v>
      </c>
      <c r="E1994" t="s">
        <v>34</v>
      </c>
      <c r="F1994" t="str">
        <f>"0002305"</f>
        <v>0002305</v>
      </c>
      <c r="G1994">
        <v>1</v>
      </c>
      <c r="H1994" t="str">
        <f>"00000000"</f>
        <v>00000000</v>
      </c>
      <c r="I1994" t="s">
        <v>35</v>
      </c>
      <c r="J1994"/>
      <c r="K1994">
        <v>1.96</v>
      </c>
      <c r="L1994">
        <v>0.0</v>
      </c>
      <c r="M1994"/>
      <c r="N1994"/>
      <c r="O1994">
        <v>0.35</v>
      </c>
      <c r="P1994">
        <v>0.2</v>
      </c>
      <c r="Q1994">
        <v>2.51</v>
      </c>
      <c r="R1994"/>
      <c r="S1994"/>
      <c r="T1994"/>
      <c r="U1994"/>
      <c r="V1994"/>
      <c r="W1994">
        <v>18</v>
      </c>
    </row>
    <row r="1995" spans="1:23">
      <c r="A1995"/>
      <c r="B1995" t="s">
        <v>64</v>
      </c>
      <c r="C1995" t="s">
        <v>64</v>
      </c>
      <c r="D1995" t="s">
        <v>33</v>
      </c>
      <c r="E1995" t="s">
        <v>34</v>
      </c>
      <c r="F1995" t="str">
        <f>"0002306"</f>
        <v>0002306</v>
      </c>
      <c r="G1995">
        <v>1</v>
      </c>
      <c r="H1995" t="str">
        <f>"00000000"</f>
        <v>00000000</v>
      </c>
      <c r="I1995" t="s">
        <v>35</v>
      </c>
      <c r="J1995"/>
      <c r="K1995">
        <v>3.14</v>
      </c>
      <c r="L1995">
        <v>0.0</v>
      </c>
      <c r="M1995"/>
      <c r="N1995"/>
      <c r="O1995">
        <v>0.56</v>
      </c>
      <c r="P1995">
        <v>0.0</v>
      </c>
      <c r="Q1995">
        <v>3.7</v>
      </c>
      <c r="R1995"/>
      <c r="S1995"/>
      <c r="T1995"/>
      <c r="U1995"/>
      <c r="V1995"/>
      <c r="W1995">
        <v>18</v>
      </c>
    </row>
    <row r="1996" spans="1:23">
      <c r="A1996"/>
      <c r="B1996" t="s">
        <v>64</v>
      </c>
      <c r="C1996" t="s">
        <v>64</v>
      </c>
      <c r="D1996" t="s">
        <v>33</v>
      </c>
      <c r="E1996" t="s">
        <v>34</v>
      </c>
      <c r="F1996" t="str">
        <f>"0002307"</f>
        <v>0002307</v>
      </c>
      <c r="G1996">
        <v>1</v>
      </c>
      <c r="H1996" t="str">
        <f>"00000000"</f>
        <v>00000000</v>
      </c>
      <c r="I1996" t="s">
        <v>35</v>
      </c>
      <c r="J1996"/>
      <c r="K1996">
        <v>12.47</v>
      </c>
      <c r="L1996">
        <v>0.0</v>
      </c>
      <c r="M1996"/>
      <c r="N1996"/>
      <c r="O1996">
        <v>2.25</v>
      </c>
      <c r="P1996">
        <v>0.2</v>
      </c>
      <c r="Q1996">
        <v>14.92</v>
      </c>
      <c r="R1996"/>
      <c r="S1996"/>
      <c r="T1996"/>
      <c r="U1996"/>
      <c r="V1996"/>
      <c r="W1996">
        <v>18</v>
      </c>
    </row>
    <row r="1997" spans="1:23">
      <c r="A1997"/>
      <c r="B1997" t="s">
        <v>64</v>
      </c>
      <c r="C1997" t="s">
        <v>64</v>
      </c>
      <c r="D1997" t="s">
        <v>33</v>
      </c>
      <c r="E1997" t="s">
        <v>34</v>
      </c>
      <c r="F1997" t="str">
        <f>"0002308"</f>
        <v>0002308</v>
      </c>
      <c r="G1997">
        <v>1</v>
      </c>
      <c r="H1997" t="str">
        <f>"00000000"</f>
        <v>00000000</v>
      </c>
      <c r="I1997" t="s">
        <v>35</v>
      </c>
      <c r="J1997"/>
      <c r="K1997">
        <v>33.73</v>
      </c>
      <c r="L1997">
        <v>0.0</v>
      </c>
      <c r="M1997"/>
      <c r="N1997"/>
      <c r="O1997">
        <v>6.07</v>
      </c>
      <c r="P1997">
        <v>0.0</v>
      </c>
      <c r="Q1997">
        <v>39.8</v>
      </c>
      <c r="R1997"/>
      <c r="S1997"/>
      <c r="T1997"/>
      <c r="U1997"/>
      <c r="V1997"/>
      <c r="W1997">
        <v>18</v>
      </c>
    </row>
    <row r="1998" spans="1:23">
      <c r="A1998"/>
      <c r="B1998" t="s">
        <v>64</v>
      </c>
      <c r="C1998" t="s">
        <v>64</v>
      </c>
      <c r="D1998" t="s">
        <v>33</v>
      </c>
      <c r="E1998" t="s">
        <v>34</v>
      </c>
      <c r="F1998" t="str">
        <f>"0002309"</f>
        <v>0002309</v>
      </c>
      <c r="G1998">
        <v>1</v>
      </c>
      <c r="H1998" t="str">
        <f>"00000000"</f>
        <v>00000000</v>
      </c>
      <c r="I1998" t="s">
        <v>35</v>
      </c>
      <c r="J1998"/>
      <c r="K1998">
        <v>6.09</v>
      </c>
      <c r="L1998">
        <v>0.0</v>
      </c>
      <c r="M1998"/>
      <c r="N1998"/>
      <c r="O1998">
        <v>1.1</v>
      </c>
      <c r="P1998">
        <v>0.0</v>
      </c>
      <c r="Q1998">
        <v>7.19</v>
      </c>
      <c r="R1998"/>
      <c r="S1998"/>
      <c r="T1998"/>
      <c r="U1998"/>
      <c r="V1998"/>
      <c r="W1998">
        <v>18</v>
      </c>
    </row>
    <row r="1999" spans="1:23">
      <c r="A1999"/>
      <c r="B1999" t="s">
        <v>64</v>
      </c>
      <c r="C1999" t="s">
        <v>64</v>
      </c>
      <c r="D1999" t="s">
        <v>33</v>
      </c>
      <c r="E1999" t="s">
        <v>34</v>
      </c>
      <c r="F1999" t="str">
        <f>"0002310"</f>
        <v>0002310</v>
      </c>
      <c r="G1999">
        <v>1</v>
      </c>
      <c r="H1999" t="str">
        <f>"00000000"</f>
        <v>00000000</v>
      </c>
      <c r="I1999" t="s">
        <v>35</v>
      </c>
      <c r="J1999"/>
      <c r="K1999">
        <v>13.43</v>
      </c>
      <c r="L1999">
        <v>0.0</v>
      </c>
      <c r="M1999"/>
      <c r="N1999"/>
      <c r="O1999">
        <v>2.42</v>
      </c>
      <c r="P1999">
        <v>0.2</v>
      </c>
      <c r="Q1999">
        <v>16.05</v>
      </c>
      <c r="R1999"/>
      <c r="S1999"/>
      <c r="T1999"/>
      <c r="U1999"/>
      <c r="V1999"/>
      <c r="W1999">
        <v>18</v>
      </c>
    </row>
    <row r="2000" spans="1:23">
      <c r="A2000"/>
      <c r="B2000" t="s">
        <v>64</v>
      </c>
      <c r="C2000" t="s">
        <v>64</v>
      </c>
      <c r="D2000" t="s">
        <v>33</v>
      </c>
      <c r="E2000" t="s">
        <v>34</v>
      </c>
      <c r="F2000" t="str">
        <f>"0002311"</f>
        <v>0002311</v>
      </c>
      <c r="G2000">
        <v>1</v>
      </c>
      <c r="H2000" t="str">
        <f>"00000000"</f>
        <v>00000000</v>
      </c>
      <c r="I2000" t="s">
        <v>35</v>
      </c>
      <c r="J2000"/>
      <c r="K2000">
        <v>55.1</v>
      </c>
      <c r="L2000">
        <v>0.0</v>
      </c>
      <c r="M2000"/>
      <c r="N2000"/>
      <c r="O2000">
        <v>9.92</v>
      </c>
      <c r="P2000">
        <v>0.2</v>
      </c>
      <c r="Q2000">
        <v>65.22</v>
      </c>
      <c r="R2000"/>
      <c r="S2000"/>
      <c r="T2000"/>
      <c r="U2000"/>
      <c r="V2000"/>
      <c r="W2000">
        <v>18</v>
      </c>
    </row>
    <row r="2001" spans="1:23">
      <c r="A2001"/>
      <c r="B2001" t="s">
        <v>64</v>
      </c>
      <c r="C2001" t="s">
        <v>64</v>
      </c>
      <c r="D2001" t="s">
        <v>33</v>
      </c>
      <c r="E2001" t="s">
        <v>34</v>
      </c>
      <c r="F2001" t="str">
        <f>"0002312"</f>
        <v>0002312</v>
      </c>
      <c r="G2001">
        <v>1</v>
      </c>
      <c r="H2001" t="str">
        <f>"00000000"</f>
        <v>00000000</v>
      </c>
      <c r="I2001" t="s">
        <v>35</v>
      </c>
      <c r="J2001"/>
      <c r="K2001">
        <v>19.85</v>
      </c>
      <c r="L2001">
        <v>0.0</v>
      </c>
      <c r="M2001"/>
      <c r="N2001"/>
      <c r="O2001">
        <v>3.57</v>
      </c>
      <c r="P2001">
        <v>0.2</v>
      </c>
      <c r="Q2001">
        <v>23.62</v>
      </c>
      <c r="R2001"/>
      <c r="S2001"/>
      <c r="T2001"/>
      <c r="U2001"/>
      <c r="V2001"/>
      <c r="W2001">
        <v>18</v>
      </c>
    </row>
    <row r="2002" spans="1:23">
      <c r="A2002"/>
      <c r="B2002" t="s">
        <v>64</v>
      </c>
      <c r="C2002" t="s">
        <v>64</v>
      </c>
      <c r="D2002" t="s">
        <v>33</v>
      </c>
      <c r="E2002" t="s">
        <v>34</v>
      </c>
      <c r="F2002" t="str">
        <f>"0002313"</f>
        <v>0002313</v>
      </c>
      <c r="G2002">
        <v>1</v>
      </c>
      <c r="H2002" t="str">
        <f>"00000000"</f>
        <v>00000000</v>
      </c>
      <c r="I2002" t="s">
        <v>35</v>
      </c>
      <c r="J2002"/>
      <c r="K2002">
        <v>6.36</v>
      </c>
      <c r="L2002">
        <v>0.0</v>
      </c>
      <c r="M2002"/>
      <c r="N2002"/>
      <c r="O2002">
        <v>1.14</v>
      </c>
      <c r="P2002">
        <v>0.0</v>
      </c>
      <c r="Q2002">
        <v>7.5</v>
      </c>
      <c r="R2002"/>
      <c r="S2002"/>
      <c r="T2002"/>
      <c r="U2002"/>
      <c r="V2002"/>
      <c r="W2002">
        <v>18</v>
      </c>
    </row>
    <row r="2003" spans="1:23">
      <c r="A2003"/>
      <c r="B2003" t="s">
        <v>64</v>
      </c>
      <c r="C2003" t="s">
        <v>64</v>
      </c>
      <c r="D2003" t="s">
        <v>33</v>
      </c>
      <c r="E2003" t="s">
        <v>34</v>
      </c>
      <c r="F2003" t="str">
        <f>"0002314"</f>
        <v>0002314</v>
      </c>
      <c r="G2003">
        <v>1</v>
      </c>
      <c r="H2003" t="str">
        <f>"00000000"</f>
        <v>00000000</v>
      </c>
      <c r="I2003" t="s">
        <v>35</v>
      </c>
      <c r="J2003"/>
      <c r="K2003">
        <v>10.02</v>
      </c>
      <c r="L2003">
        <v>0.0</v>
      </c>
      <c r="M2003"/>
      <c r="N2003"/>
      <c r="O2003">
        <v>1.8</v>
      </c>
      <c r="P2003">
        <v>0.2</v>
      </c>
      <c r="Q2003">
        <v>12.02</v>
      </c>
      <c r="R2003"/>
      <c r="S2003"/>
      <c r="T2003"/>
      <c r="U2003"/>
      <c r="V2003"/>
      <c r="W2003">
        <v>18</v>
      </c>
    </row>
    <row r="2004" spans="1:23">
      <c r="A2004"/>
      <c r="B2004" t="s">
        <v>64</v>
      </c>
      <c r="C2004" t="s">
        <v>64</v>
      </c>
      <c r="D2004" t="s">
        <v>33</v>
      </c>
      <c r="E2004" t="s">
        <v>34</v>
      </c>
      <c r="F2004" t="str">
        <f>"0002315"</f>
        <v>0002315</v>
      </c>
      <c r="G2004">
        <v>1</v>
      </c>
      <c r="H2004" t="str">
        <f>"00000000"</f>
        <v>00000000</v>
      </c>
      <c r="I2004" t="s">
        <v>35</v>
      </c>
      <c r="J2004"/>
      <c r="K2004">
        <v>4.25</v>
      </c>
      <c r="L2004">
        <v>0.0</v>
      </c>
      <c r="M2004"/>
      <c r="N2004"/>
      <c r="O2004">
        <v>0.77</v>
      </c>
      <c r="P2004">
        <v>0.2</v>
      </c>
      <c r="Q2004">
        <v>5.22</v>
      </c>
      <c r="R2004"/>
      <c r="S2004"/>
      <c r="T2004"/>
      <c r="U2004"/>
      <c r="V2004"/>
      <c r="W2004">
        <v>18</v>
      </c>
    </row>
    <row r="2005" spans="1:23">
      <c r="A2005"/>
      <c r="B2005" t="s">
        <v>64</v>
      </c>
      <c r="C2005" t="s">
        <v>64</v>
      </c>
      <c r="D2005" t="s">
        <v>33</v>
      </c>
      <c r="E2005" t="s">
        <v>34</v>
      </c>
      <c r="F2005" t="str">
        <f>"0002316"</f>
        <v>0002316</v>
      </c>
      <c r="G2005">
        <v>1</v>
      </c>
      <c r="H2005" t="str">
        <f>"00000000"</f>
        <v>00000000</v>
      </c>
      <c r="I2005" t="s">
        <v>35</v>
      </c>
      <c r="J2005"/>
      <c r="K2005">
        <v>26.83</v>
      </c>
      <c r="L2005">
        <v>0.0</v>
      </c>
      <c r="M2005"/>
      <c r="N2005"/>
      <c r="O2005">
        <v>4.83</v>
      </c>
      <c r="P2005">
        <v>0.0</v>
      </c>
      <c r="Q2005">
        <v>31.66</v>
      </c>
      <c r="R2005"/>
      <c r="S2005"/>
      <c r="T2005"/>
      <c r="U2005"/>
      <c r="V2005"/>
      <c r="W2005">
        <v>18</v>
      </c>
    </row>
    <row r="2006" spans="1:23">
      <c r="A2006"/>
      <c r="B2006" t="s">
        <v>64</v>
      </c>
      <c r="C2006" t="s">
        <v>64</v>
      </c>
      <c r="D2006" t="s">
        <v>33</v>
      </c>
      <c r="E2006" t="s">
        <v>34</v>
      </c>
      <c r="F2006" t="str">
        <f>"0002317"</f>
        <v>0002317</v>
      </c>
      <c r="G2006">
        <v>1</v>
      </c>
      <c r="H2006" t="str">
        <f>"00000000"</f>
        <v>00000000</v>
      </c>
      <c r="I2006" t="s">
        <v>35</v>
      </c>
      <c r="J2006"/>
      <c r="K2006">
        <v>4.24</v>
      </c>
      <c r="L2006">
        <v>0.0</v>
      </c>
      <c r="M2006"/>
      <c r="N2006"/>
      <c r="O2006">
        <v>0.76</v>
      </c>
      <c r="P2006">
        <v>0.0</v>
      </c>
      <c r="Q2006">
        <v>5.0</v>
      </c>
      <c r="R2006"/>
      <c r="S2006"/>
      <c r="T2006"/>
      <c r="U2006"/>
      <c r="V2006"/>
      <c r="W2006">
        <v>18</v>
      </c>
    </row>
    <row r="2007" spans="1:23">
      <c r="A2007"/>
      <c r="B2007" t="s">
        <v>64</v>
      </c>
      <c r="C2007" t="s">
        <v>64</v>
      </c>
      <c r="D2007" t="s">
        <v>33</v>
      </c>
      <c r="E2007" t="s">
        <v>34</v>
      </c>
      <c r="F2007" t="str">
        <f>"0002318"</f>
        <v>0002318</v>
      </c>
      <c r="G2007">
        <v>1</v>
      </c>
      <c r="H2007" t="str">
        <f>"00000000"</f>
        <v>00000000</v>
      </c>
      <c r="I2007" t="s">
        <v>35</v>
      </c>
      <c r="J2007"/>
      <c r="K2007">
        <v>0.55</v>
      </c>
      <c r="L2007">
        <v>0.0</v>
      </c>
      <c r="M2007"/>
      <c r="N2007"/>
      <c r="O2007">
        <v>0.1</v>
      </c>
      <c r="P2007">
        <v>0.0</v>
      </c>
      <c r="Q2007">
        <v>0.65</v>
      </c>
      <c r="R2007"/>
      <c r="S2007"/>
      <c r="T2007"/>
      <c r="U2007"/>
      <c r="V2007"/>
      <c r="W2007">
        <v>18</v>
      </c>
    </row>
    <row r="2008" spans="1:23">
      <c r="A2008"/>
      <c r="B2008" t="s">
        <v>64</v>
      </c>
      <c r="C2008" t="s">
        <v>64</v>
      </c>
      <c r="D2008" t="s">
        <v>33</v>
      </c>
      <c r="E2008" t="s">
        <v>34</v>
      </c>
      <c r="F2008" t="str">
        <f>"0002319"</f>
        <v>0002319</v>
      </c>
      <c r="G2008">
        <v>1</v>
      </c>
      <c r="H2008" t="str">
        <f>"00000000"</f>
        <v>00000000</v>
      </c>
      <c r="I2008" t="s">
        <v>35</v>
      </c>
      <c r="J2008"/>
      <c r="K2008">
        <v>2.54</v>
      </c>
      <c r="L2008">
        <v>0.0</v>
      </c>
      <c r="M2008"/>
      <c r="N2008"/>
      <c r="O2008">
        <v>0.46</v>
      </c>
      <c r="P2008">
        <v>0.0</v>
      </c>
      <c r="Q2008">
        <v>3.0</v>
      </c>
      <c r="R2008"/>
      <c r="S2008"/>
      <c r="T2008"/>
      <c r="U2008"/>
      <c r="V2008"/>
      <c r="W2008">
        <v>18</v>
      </c>
    </row>
    <row r="2009" spans="1:23">
      <c r="A2009"/>
      <c r="B2009" t="s">
        <v>64</v>
      </c>
      <c r="C2009" t="s">
        <v>64</v>
      </c>
      <c r="D2009" t="s">
        <v>33</v>
      </c>
      <c r="E2009" t="s">
        <v>34</v>
      </c>
      <c r="F2009" t="str">
        <f>"0002320"</f>
        <v>0002320</v>
      </c>
      <c r="G2009">
        <v>1</v>
      </c>
      <c r="H2009" t="str">
        <f>"00000000"</f>
        <v>00000000</v>
      </c>
      <c r="I2009" t="s">
        <v>35</v>
      </c>
      <c r="J2009"/>
      <c r="K2009">
        <v>34.15</v>
      </c>
      <c r="L2009">
        <v>0.0</v>
      </c>
      <c r="M2009"/>
      <c r="N2009"/>
      <c r="O2009">
        <v>6.15</v>
      </c>
      <c r="P2009">
        <v>0.0</v>
      </c>
      <c r="Q2009">
        <v>40.3</v>
      </c>
      <c r="R2009"/>
      <c r="S2009"/>
      <c r="T2009"/>
      <c r="U2009"/>
      <c r="V2009"/>
      <c r="W2009">
        <v>18</v>
      </c>
    </row>
    <row r="2010" spans="1:23">
      <c r="A2010"/>
      <c r="B2010" t="s">
        <v>64</v>
      </c>
      <c r="C2010" t="s">
        <v>64</v>
      </c>
      <c r="D2010" t="s">
        <v>33</v>
      </c>
      <c r="E2010" t="s">
        <v>34</v>
      </c>
      <c r="F2010" t="str">
        <f>"0002321"</f>
        <v>0002321</v>
      </c>
      <c r="G2010">
        <v>1</v>
      </c>
      <c r="H2010" t="str">
        <f>"00000000"</f>
        <v>00000000</v>
      </c>
      <c r="I2010" t="s">
        <v>35</v>
      </c>
      <c r="J2010"/>
      <c r="K2010">
        <v>21.03</v>
      </c>
      <c r="L2010">
        <v>0.0</v>
      </c>
      <c r="M2010"/>
      <c r="N2010"/>
      <c r="O2010">
        <v>3.79</v>
      </c>
      <c r="P2010">
        <v>0.2</v>
      </c>
      <c r="Q2010">
        <v>25.02</v>
      </c>
      <c r="R2010"/>
      <c r="S2010"/>
      <c r="T2010"/>
      <c r="U2010"/>
      <c r="V2010"/>
      <c r="W2010">
        <v>18</v>
      </c>
    </row>
    <row r="2011" spans="1:23">
      <c r="A2011"/>
      <c r="B2011" t="s">
        <v>64</v>
      </c>
      <c r="C2011" t="s">
        <v>64</v>
      </c>
      <c r="D2011" t="s">
        <v>33</v>
      </c>
      <c r="E2011" t="s">
        <v>34</v>
      </c>
      <c r="F2011" t="str">
        <f>"0002322"</f>
        <v>0002322</v>
      </c>
      <c r="G2011">
        <v>1</v>
      </c>
      <c r="H2011" t="str">
        <f>"00000000"</f>
        <v>00000000</v>
      </c>
      <c r="I2011" t="s">
        <v>35</v>
      </c>
      <c r="J2011"/>
      <c r="K2011">
        <v>16.86</v>
      </c>
      <c r="L2011">
        <v>0.0</v>
      </c>
      <c r="M2011"/>
      <c r="N2011"/>
      <c r="O2011">
        <v>3.04</v>
      </c>
      <c r="P2011">
        <v>0.2</v>
      </c>
      <c r="Q2011">
        <v>20.1</v>
      </c>
      <c r="R2011"/>
      <c r="S2011"/>
      <c r="T2011"/>
      <c r="U2011"/>
      <c r="V2011"/>
      <c r="W2011">
        <v>18</v>
      </c>
    </row>
    <row r="2012" spans="1:23">
      <c r="A2012"/>
      <c r="B2012" t="s">
        <v>64</v>
      </c>
      <c r="C2012" t="s">
        <v>64</v>
      </c>
      <c r="D2012" t="s">
        <v>33</v>
      </c>
      <c r="E2012" t="s">
        <v>34</v>
      </c>
      <c r="F2012" t="str">
        <f>"0002323"</f>
        <v>0002323</v>
      </c>
      <c r="G2012">
        <v>1</v>
      </c>
      <c r="H2012" t="str">
        <f>"00000000"</f>
        <v>00000000</v>
      </c>
      <c r="I2012" t="s">
        <v>35</v>
      </c>
      <c r="J2012"/>
      <c r="K2012">
        <v>8.73</v>
      </c>
      <c r="L2012">
        <v>0.0</v>
      </c>
      <c r="M2012"/>
      <c r="N2012"/>
      <c r="O2012">
        <v>1.57</v>
      </c>
      <c r="P2012">
        <v>0.0</v>
      </c>
      <c r="Q2012">
        <v>10.3</v>
      </c>
      <c r="R2012"/>
      <c r="S2012"/>
      <c r="T2012"/>
      <c r="U2012"/>
      <c r="V2012"/>
      <c r="W2012">
        <v>18</v>
      </c>
    </row>
    <row r="2013" spans="1:23">
      <c r="A2013"/>
      <c r="B2013" t="s">
        <v>64</v>
      </c>
      <c r="C2013" t="s">
        <v>64</v>
      </c>
      <c r="D2013" t="s">
        <v>33</v>
      </c>
      <c r="E2013" t="s">
        <v>34</v>
      </c>
      <c r="F2013" t="str">
        <f>"0002324"</f>
        <v>0002324</v>
      </c>
      <c r="G2013">
        <v>1</v>
      </c>
      <c r="H2013" t="str">
        <f>"00000000"</f>
        <v>00000000</v>
      </c>
      <c r="I2013" t="s">
        <v>35</v>
      </c>
      <c r="J2013"/>
      <c r="K2013">
        <v>10.17</v>
      </c>
      <c r="L2013">
        <v>0.0</v>
      </c>
      <c r="M2013"/>
      <c r="N2013"/>
      <c r="O2013">
        <v>1.83</v>
      </c>
      <c r="P2013">
        <v>0.0</v>
      </c>
      <c r="Q2013">
        <v>12.0</v>
      </c>
      <c r="R2013"/>
      <c r="S2013"/>
      <c r="T2013"/>
      <c r="U2013"/>
      <c r="V2013"/>
      <c r="W2013">
        <v>18</v>
      </c>
    </row>
    <row r="2014" spans="1:23">
      <c r="A2014"/>
      <c r="B2014" t="s">
        <v>64</v>
      </c>
      <c r="C2014" t="s">
        <v>64</v>
      </c>
      <c r="D2014" t="s">
        <v>33</v>
      </c>
      <c r="E2014" t="s">
        <v>34</v>
      </c>
      <c r="F2014" t="str">
        <f>"0002325"</f>
        <v>0002325</v>
      </c>
      <c r="G2014">
        <v>1</v>
      </c>
      <c r="H2014" t="str">
        <f>"00000000"</f>
        <v>00000000</v>
      </c>
      <c r="I2014" t="s">
        <v>35</v>
      </c>
      <c r="J2014"/>
      <c r="K2014">
        <v>15.76</v>
      </c>
      <c r="L2014">
        <v>0.0</v>
      </c>
      <c r="M2014"/>
      <c r="N2014"/>
      <c r="O2014">
        <v>2.84</v>
      </c>
      <c r="P2014">
        <v>0.0</v>
      </c>
      <c r="Q2014">
        <v>18.6</v>
      </c>
      <c r="R2014"/>
      <c r="S2014"/>
      <c r="T2014"/>
      <c r="U2014"/>
      <c r="V2014"/>
      <c r="W2014">
        <v>18</v>
      </c>
    </row>
    <row r="2015" spans="1:23">
      <c r="A2015"/>
      <c r="B2015" t="s">
        <v>64</v>
      </c>
      <c r="C2015" t="s">
        <v>64</v>
      </c>
      <c r="D2015" t="s">
        <v>33</v>
      </c>
      <c r="E2015" t="s">
        <v>34</v>
      </c>
      <c r="F2015" t="str">
        <f>"0002326"</f>
        <v>0002326</v>
      </c>
      <c r="G2015">
        <v>1</v>
      </c>
      <c r="H2015" t="str">
        <f>"00000000"</f>
        <v>00000000</v>
      </c>
      <c r="I2015" t="s">
        <v>35</v>
      </c>
      <c r="J2015"/>
      <c r="K2015">
        <v>19.42</v>
      </c>
      <c r="L2015">
        <v>0.0</v>
      </c>
      <c r="M2015"/>
      <c r="N2015"/>
      <c r="O2015">
        <v>3.5</v>
      </c>
      <c r="P2015">
        <v>0.2</v>
      </c>
      <c r="Q2015">
        <v>23.12</v>
      </c>
      <c r="R2015"/>
      <c r="S2015"/>
      <c r="T2015"/>
      <c r="U2015"/>
      <c r="V2015"/>
      <c r="W2015">
        <v>18</v>
      </c>
    </row>
    <row r="2016" spans="1:23">
      <c r="A2016"/>
      <c r="B2016" t="s">
        <v>64</v>
      </c>
      <c r="C2016" t="s">
        <v>64</v>
      </c>
      <c r="D2016" t="s">
        <v>33</v>
      </c>
      <c r="E2016" t="s">
        <v>34</v>
      </c>
      <c r="F2016" t="str">
        <f>"0002327"</f>
        <v>0002327</v>
      </c>
      <c r="G2016">
        <v>1</v>
      </c>
      <c r="H2016" t="str">
        <f>"00000000"</f>
        <v>00000000</v>
      </c>
      <c r="I2016" t="s">
        <v>35</v>
      </c>
      <c r="J2016"/>
      <c r="K2016">
        <v>75.37</v>
      </c>
      <c r="L2016">
        <v>0.0</v>
      </c>
      <c r="M2016"/>
      <c r="N2016"/>
      <c r="O2016">
        <v>13.57</v>
      </c>
      <c r="P2016">
        <v>0.4</v>
      </c>
      <c r="Q2016">
        <v>89.34</v>
      </c>
      <c r="R2016"/>
      <c r="S2016"/>
      <c r="T2016"/>
      <c r="U2016"/>
      <c r="V2016"/>
      <c r="W2016">
        <v>18</v>
      </c>
    </row>
    <row r="2017" spans="1:23">
      <c r="A2017"/>
      <c r="B2017" t="s">
        <v>64</v>
      </c>
      <c r="C2017" t="s">
        <v>64</v>
      </c>
      <c r="D2017" t="s">
        <v>33</v>
      </c>
      <c r="E2017" t="s">
        <v>34</v>
      </c>
      <c r="F2017" t="str">
        <f>"0002328"</f>
        <v>0002328</v>
      </c>
      <c r="G2017">
        <v>1</v>
      </c>
      <c r="H2017" t="str">
        <f>"00000000"</f>
        <v>00000000</v>
      </c>
      <c r="I2017" t="s">
        <v>35</v>
      </c>
      <c r="J2017"/>
      <c r="K2017">
        <v>31.79</v>
      </c>
      <c r="L2017">
        <v>0.0</v>
      </c>
      <c r="M2017"/>
      <c r="N2017"/>
      <c r="O2017">
        <v>5.72</v>
      </c>
      <c r="P2017">
        <v>0.0</v>
      </c>
      <c r="Q2017">
        <v>37.52</v>
      </c>
      <c r="R2017"/>
      <c r="S2017"/>
      <c r="T2017"/>
      <c r="U2017"/>
      <c r="V2017"/>
      <c r="W2017">
        <v>18</v>
      </c>
    </row>
    <row r="2018" spans="1:23">
      <c r="A2018"/>
      <c r="B2018" t="s">
        <v>64</v>
      </c>
      <c r="C2018" t="s">
        <v>64</v>
      </c>
      <c r="D2018" t="s">
        <v>33</v>
      </c>
      <c r="E2018" t="s">
        <v>34</v>
      </c>
      <c r="F2018" t="str">
        <f>"0002329"</f>
        <v>0002329</v>
      </c>
      <c r="G2018">
        <v>1</v>
      </c>
      <c r="H2018" t="str">
        <f>"00000000"</f>
        <v>00000000</v>
      </c>
      <c r="I2018" t="s">
        <v>35</v>
      </c>
      <c r="J2018"/>
      <c r="K2018">
        <v>35.2</v>
      </c>
      <c r="L2018">
        <v>0.0</v>
      </c>
      <c r="M2018"/>
      <c r="N2018"/>
      <c r="O2018">
        <v>6.34</v>
      </c>
      <c r="P2018">
        <v>0.2</v>
      </c>
      <c r="Q2018">
        <v>41.74</v>
      </c>
      <c r="R2018"/>
      <c r="S2018"/>
      <c r="T2018"/>
      <c r="U2018"/>
      <c r="V2018"/>
      <c r="W2018">
        <v>18</v>
      </c>
    </row>
    <row r="2019" spans="1:23">
      <c r="A2019"/>
      <c r="B2019" t="s">
        <v>64</v>
      </c>
      <c r="C2019" t="s">
        <v>64</v>
      </c>
      <c r="D2019" t="s">
        <v>33</v>
      </c>
      <c r="E2019" t="s">
        <v>34</v>
      </c>
      <c r="F2019" t="str">
        <f>"0002330"</f>
        <v>0002330</v>
      </c>
      <c r="G2019">
        <v>1</v>
      </c>
      <c r="H2019" t="str">
        <f>"00000000"</f>
        <v>00000000</v>
      </c>
      <c r="I2019" t="s">
        <v>35</v>
      </c>
      <c r="J2019"/>
      <c r="K2019">
        <v>1.27</v>
      </c>
      <c r="L2019">
        <v>0.0</v>
      </c>
      <c r="M2019"/>
      <c r="N2019"/>
      <c r="O2019">
        <v>0.23</v>
      </c>
      <c r="P2019">
        <v>0.0</v>
      </c>
      <c r="Q2019">
        <v>1.5</v>
      </c>
      <c r="R2019"/>
      <c r="S2019"/>
      <c r="T2019"/>
      <c r="U2019"/>
      <c r="V2019"/>
      <c r="W2019">
        <v>18</v>
      </c>
    </row>
    <row r="2020" spans="1:23">
      <c r="A2020"/>
      <c r="B2020" t="s">
        <v>64</v>
      </c>
      <c r="C2020" t="s">
        <v>64</v>
      </c>
      <c r="D2020" t="s">
        <v>33</v>
      </c>
      <c r="E2020" t="s">
        <v>34</v>
      </c>
      <c r="F2020" t="str">
        <f>"0002331"</f>
        <v>0002331</v>
      </c>
      <c r="G2020">
        <v>1</v>
      </c>
      <c r="H2020" t="str">
        <f>"00000000"</f>
        <v>00000000</v>
      </c>
      <c r="I2020" t="s">
        <v>35</v>
      </c>
      <c r="J2020"/>
      <c r="K2020">
        <v>30.36</v>
      </c>
      <c r="L2020">
        <v>0.0</v>
      </c>
      <c r="M2020"/>
      <c r="N2020"/>
      <c r="O2020">
        <v>5.46</v>
      </c>
      <c r="P2020">
        <v>0.2</v>
      </c>
      <c r="Q2020">
        <v>36.02</v>
      </c>
      <c r="R2020"/>
      <c r="S2020"/>
      <c r="T2020"/>
      <c r="U2020"/>
      <c r="V2020"/>
      <c r="W2020">
        <v>18</v>
      </c>
    </row>
    <row r="2021" spans="1:23">
      <c r="A2021"/>
      <c r="B2021" t="s">
        <v>64</v>
      </c>
      <c r="C2021" t="s">
        <v>64</v>
      </c>
      <c r="D2021" t="s">
        <v>33</v>
      </c>
      <c r="E2021" t="s">
        <v>34</v>
      </c>
      <c r="F2021" t="str">
        <f>"0002332"</f>
        <v>0002332</v>
      </c>
      <c r="G2021">
        <v>1</v>
      </c>
      <c r="H2021" t="str">
        <f>"00000000"</f>
        <v>00000000</v>
      </c>
      <c r="I2021" t="s">
        <v>35</v>
      </c>
      <c r="J2021"/>
      <c r="K2021">
        <v>11.97</v>
      </c>
      <c r="L2021">
        <v>0.0</v>
      </c>
      <c r="M2021"/>
      <c r="N2021"/>
      <c r="O2021">
        <v>2.15</v>
      </c>
      <c r="P2021">
        <v>0.2</v>
      </c>
      <c r="Q2021">
        <v>14.33</v>
      </c>
      <c r="R2021"/>
      <c r="S2021"/>
      <c r="T2021"/>
      <c r="U2021"/>
      <c r="V2021"/>
      <c r="W2021">
        <v>18</v>
      </c>
    </row>
    <row r="2022" spans="1:23">
      <c r="A2022"/>
      <c r="B2022" t="s">
        <v>64</v>
      </c>
      <c r="C2022" t="s">
        <v>64</v>
      </c>
      <c r="D2022" t="s">
        <v>33</v>
      </c>
      <c r="E2022" t="s">
        <v>34</v>
      </c>
      <c r="F2022" t="str">
        <f>"0002333"</f>
        <v>0002333</v>
      </c>
      <c r="G2022">
        <v>1</v>
      </c>
      <c r="H2022" t="str">
        <f>"00000000"</f>
        <v>00000000</v>
      </c>
      <c r="I2022" t="s">
        <v>35</v>
      </c>
      <c r="J2022"/>
      <c r="K2022">
        <v>2.54</v>
      </c>
      <c r="L2022">
        <v>0.0</v>
      </c>
      <c r="M2022"/>
      <c r="N2022"/>
      <c r="O2022">
        <v>0.46</v>
      </c>
      <c r="P2022">
        <v>0.0</v>
      </c>
      <c r="Q2022">
        <v>3.0</v>
      </c>
      <c r="R2022"/>
      <c r="S2022"/>
      <c r="T2022"/>
      <c r="U2022"/>
      <c r="V2022"/>
      <c r="W2022">
        <v>18</v>
      </c>
    </row>
    <row r="2023" spans="1:23">
      <c r="A2023"/>
      <c r="B2023" t="s">
        <v>64</v>
      </c>
      <c r="C2023" t="s">
        <v>64</v>
      </c>
      <c r="D2023" t="s">
        <v>33</v>
      </c>
      <c r="E2023" t="s">
        <v>34</v>
      </c>
      <c r="F2023" t="str">
        <f>"0002334"</f>
        <v>0002334</v>
      </c>
      <c r="G2023">
        <v>1</v>
      </c>
      <c r="H2023" t="str">
        <f>"00000000"</f>
        <v>00000000</v>
      </c>
      <c r="I2023" t="s">
        <v>35</v>
      </c>
      <c r="J2023"/>
      <c r="K2023">
        <v>13.82</v>
      </c>
      <c r="L2023">
        <v>0.0</v>
      </c>
      <c r="M2023"/>
      <c r="N2023"/>
      <c r="O2023">
        <v>2.49</v>
      </c>
      <c r="P2023">
        <v>0.2</v>
      </c>
      <c r="Q2023">
        <v>16.51</v>
      </c>
      <c r="R2023"/>
      <c r="S2023"/>
      <c r="T2023"/>
      <c r="U2023"/>
      <c r="V2023"/>
      <c r="W2023">
        <v>18</v>
      </c>
    </row>
    <row r="2024" spans="1:23">
      <c r="A2024"/>
      <c r="B2024" t="s">
        <v>64</v>
      </c>
      <c r="C2024" t="s">
        <v>64</v>
      </c>
      <c r="D2024" t="s">
        <v>33</v>
      </c>
      <c r="E2024" t="s">
        <v>34</v>
      </c>
      <c r="F2024" t="str">
        <f>"0002335"</f>
        <v>0002335</v>
      </c>
      <c r="G2024">
        <v>1</v>
      </c>
      <c r="H2024" t="str">
        <f>"00000000"</f>
        <v>00000000</v>
      </c>
      <c r="I2024" t="s">
        <v>35</v>
      </c>
      <c r="J2024"/>
      <c r="K2024">
        <v>45.04</v>
      </c>
      <c r="L2024">
        <v>0.0</v>
      </c>
      <c r="M2024"/>
      <c r="N2024"/>
      <c r="O2024">
        <v>8.11</v>
      </c>
      <c r="P2024">
        <v>0.2</v>
      </c>
      <c r="Q2024">
        <v>53.35</v>
      </c>
      <c r="R2024"/>
      <c r="S2024"/>
      <c r="T2024"/>
      <c r="U2024"/>
      <c r="V2024"/>
      <c r="W2024">
        <v>18</v>
      </c>
    </row>
    <row r="2025" spans="1:23">
      <c r="A2025"/>
      <c r="B2025" t="s">
        <v>65</v>
      </c>
      <c r="C2025" t="s">
        <v>65</v>
      </c>
      <c r="D2025" t="s">
        <v>33</v>
      </c>
      <c r="E2025" t="s">
        <v>34</v>
      </c>
      <c r="F2025" t="str">
        <f>"0002336"</f>
        <v>0002336</v>
      </c>
      <c r="G2025">
        <v>1</v>
      </c>
      <c r="H2025" t="str">
        <f>"00000000"</f>
        <v>00000000</v>
      </c>
      <c r="I2025" t="s">
        <v>35</v>
      </c>
      <c r="J2025"/>
      <c r="K2025">
        <v>0.82</v>
      </c>
      <c r="L2025">
        <v>0.0</v>
      </c>
      <c r="M2025"/>
      <c r="N2025"/>
      <c r="O2025">
        <v>0.15</v>
      </c>
      <c r="P2025">
        <v>0.0</v>
      </c>
      <c r="Q2025">
        <v>0.96</v>
      </c>
      <c r="R2025"/>
      <c r="S2025"/>
      <c r="T2025"/>
      <c r="U2025"/>
      <c r="V2025"/>
      <c r="W2025">
        <v>18</v>
      </c>
    </row>
    <row r="2026" spans="1:23">
      <c r="A2026"/>
      <c r="B2026" t="s">
        <v>65</v>
      </c>
      <c r="C2026" t="s">
        <v>65</v>
      </c>
      <c r="D2026" t="s">
        <v>33</v>
      </c>
      <c r="E2026" t="s">
        <v>34</v>
      </c>
      <c r="F2026" t="str">
        <f>"0002337"</f>
        <v>0002337</v>
      </c>
      <c r="G2026">
        <v>1</v>
      </c>
      <c r="H2026" t="str">
        <f>"00000000"</f>
        <v>00000000</v>
      </c>
      <c r="I2026" t="s">
        <v>35</v>
      </c>
      <c r="J2026"/>
      <c r="K2026">
        <v>0.48</v>
      </c>
      <c r="L2026">
        <v>0.0</v>
      </c>
      <c r="M2026"/>
      <c r="N2026"/>
      <c r="O2026">
        <v>0.09</v>
      </c>
      <c r="P2026">
        <v>0.0</v>
      </c>
      <c r="Q2026">
        <v>0.56</v>
      </c>
      <c r="R2026"/>
      <c r="S2026"/>
      <c r="T2026"/>
      <c r="U2026"/>
      <c r="V2026"/>
      <c r="W2026">
        <v>18</v>
      </c>
    </row>
    <row r="2027" spans="1:23">
      <c r="A2027"/>
      <c r="B2027" t="s">
        <v>65</v>
      </c>
      <c r="C2027" t="s">
        <v>65</v>
      </c>
      <c r="D2027" t="s">
        <v>33</v>
      </c>
      <c r="E2027" t="s">
        <v>34</v>
      </c>
      <c r="F2027" t="str">
        <f>"0002338"</f>
        <v>0002338</v>
      </c>
      <c r="G2027">
        <v>1</v>
      </c>
      <c r="H2027" t="str">
        <f>"00000000"</f>
        <v>00000000</v>
      </c>
      <c r="I2027" t="s">
        <v>35</v>
      </c>
      <c r="J2027"/>
      <c r="K2027">
        <v>30.25</v>
      </c>
      <c r="L2027">
        <v>0.0</v>
      </c>
      <c r="M2027"/>
      <c r="N2027"/>
      <c r="O2027">
        <v>5.44</v>
      </c>
      <c r="P2027">
        <v>0.0</v>
      </c>
      <c r="Q2027">
        <v>35.69</v>
      </c>
      <c r="R2027"/>
      <c r="S2027"/>
      <c r="T2027"/>
      <c r="U2027"/>
      <c r="V2027"/>
      <c r="W2027">
        <v>18</v>
      </c>
    </row>
    <row r="2028" spans="1:23">
      <c r="A2028"/>
      <c r="B2028" t="s">
        <v>65</v>
      </c>
      <c r="C2028" t="s">
        <v>65</v>
      </c>
      <c r="D2028" t="s">
        <v>33</v>
      </c>
      <c r="E2028" t="s">
        <v>34</v>
      </c>
      <c r="F2028" t="str">
        <f>"0002339"</f>
        <v>0002339</v>
      </c>
      <c r="G2028">
        <v>1</v>
      </c>
      <c r="H2028" t="str">
        <f>"00000000"</f>
        <v>00000000</v>
      </c>
      <c r="I2028" t="s">
        <v>35</v>
      </c>
      <c r="J2028"/>
      <c r="K2028">
        <v>0.05</v>
      </c>
      <c r="L2028">
        <v>0.0</v>
      </c>
      <c r="M2028"/>
      <c r="N2028"/>
      <c r="O2028">
        <v>0.01</v>
      </c>
      <c r="P2028">
        <v>0.6</v>
      </c>
      <c r="Q2028">
        <v>0.66</v>
      </c>
      <c r="R2028"/>
      <c r="S2028"/>
      <c r="T2028"/>
      <c r="U2028"/>
      <c r="V2028"/>
      <c r="W2028">
        <v>18</v>
      </c>
    </row>
    <row r="2029" spans="1:23">
      <c r="A2029"/>
      <c r="B2029" t="s">
        <v>65</v>
      </c>
      <c r="C2029" t="s">
        <v>65</v>
      </c>
      <c r="D2029" t="s">
        <v>33</v>
      </c>
      <c r="E2029" t="s">
        <v>34</v>
      </c>
      <c r="F2029" t="str">
        <f>"0002340"</f>
        <v>0002340</v>
      </c>
      <c r="G2029">
        <v>1</v>
      </c>
      <c r="H2029" t="str">
        <f>"00000000"</f>
        <v>00000000</v>
      </c>
      <c r="I2029" t="s">
        <v>35</v>
      </c>
      <c r="J2029"/>
      <c r="K2029">
        <v>5.76</v>
      </c>
      <c r="L2029">
        <v>0.0</v>
      </c>
      <c r="M2029"/>
      <c r="N2029"/>
      <c r="O2029">
        <v>1.04</v>
      </c>
      <c r="P2029">
        <v>0.0</v>
      </c>
      <c r="Q2029">
        <v>6.8</v>
      </c>
      <c r="R2029"/>
      <c r="S2029"/>
      <c r="T2029"/>
      <c r="U2029"/>
      <c r="V2029"/>
      <c r="W2029">
        <v>18</v>
      </c>
    </row>
    <row r="2030" spans="1:23">
      <c r="A2030"/>
      <c r="B2030" t="s">
        <v>65</v>
      </c>
      <c r="C2030" t="s">
        <v>65</v>
      </c>
      <c r="D2030" t="s">
        <v>33</v>
      </c>
      <c r="E2030" t="s">
        <v>34</v>
      </c>
      <c r="F2030" t="str">
        <f>"0002341"</f>
        <v>0002341</v>
      </c>
      <c r="G2030">
        <v>1</v>
      </c>
      <c r="H2030" t="str">
        <f>"00000000"</f>
        <v>00000000</v>
      </c>
      <c r="I2030" t="s">
        <v>35</v>
      </c>
      <c r="J2030"/>
      <c r="K2030">
        <v>0.02</v>
      </c>
      <c r="L2030">
        <v>0.0</v>
      </c>
      <c r="M2030"/>
      <c r="N2030"/>
      <c r="O2030">
        <v>0.0</v>
      </c>
      <c r="P2030">
        <v>0.2</v>
      </c>
      <c r="Q2030">
        <v>0.22</v>
      </c>
      <c r="R2030"/>
      <c r="S2030"/>
      <c r="T2030"/>
      <c r="U2030"/>
      <c r="V2030"/>
      <c r="W2030">
        <v>18</v>
      </c>
    </row>
    <row r="2031" spans="1:23">
      <c r="A2031"/>
      <c r="B2031" t="s">
        <v>65</v>
      </c>
      <c r="C2031" t="s">
        <v>65</v>
      </c>
      <c r="D2031" t="s">
        <v>33</v>
      </c>
      <c r="E2031" t="s">
        <v>34</v>
      </c>
      <c r="F2031" t="str">
        <f>"0002342"</f>
        <v>0002342</v>
      </c>
      <c r="G2031">
        <v>1</v>
      </c>
      <c r="H2031" t="str">
        <f>"00000000"</f>
        <v>00000000</v>
      </c>
      <c r="I2031" t="s">
        <v>35</v>
      </c>
      <c r="J2031"/>
      <c r="K2031">
        <v>3.5</v>
      </c>
      <c r="L2031">
        <v>0.0</v>
      </c>
      <c r="M2031"/>
      <c r="N2031"/>
      <c r="O2031">
        <v>0.63</v>
      </c>
      <c r="P2031">
        <v>0.2</v>
      </c>
      <c r="Q2031">
        <v>4.33</v>
      </c>
      <c r="R2031"/>
      <c r="S2031"/>
      <c r="T2031"/>
      <c r="U2031"/>
      <c r="V2031"/>
      <c r="W2031">
        <v>18</v>
      </c>
    </row>
    <row r="2032" spans="1:23">
      <c r="A2032"/>
      <c r="B2032" t="s">
        <v>65</v>
      </c>
      <c r="C2032" t="s">
        <v>65</v>
      </c>
      <c r="D2032" t="s">
        <v>33</v>
      </c>
      <c r="E2032" t="s">
        <v>34</v>
      </c>
      <c r="F2032" t="str">
        <f>"0002343"</f>
        <v>0002343</v>
      </c>
      <c r="G2032">
        <v>1</v>
      </c>
      <c r="H2032" t="str">
        <f>"00000000"</f>
        <v>00000000</v>
      </c>
      <c r="I2032" t="s">
        <v>35</v>
      </c>
      <c r="J2032"/>
      <c r="K2032">
        <v>1.69</v>
      </c>
      <c r="L2032">
        <v>0.0</v>
      </c>
      <c r="M2032"/>
      <c r="N2032"/>
      <c r="O2032">
        <v>0.31</v>
      </c>
      <c r="P2032">
        <v>0.0</v>
      </c>
      <c r="Q2032">
        <v>2.0</v>
      </c>
      <c r="R2032"/>
      <c r="S2032"/>
      <c r="T2032"/>
      <c r="U2032"/>
      <c r="V2032"/>
      <c r="W2032">
        <v>18</v>
      </c>
    </row>
    <row r="2033" spans="1:23">
      <c r="A2033"/>
      <c r="B2033" t="s">
        <v>65</v>
      </c>
      <c r="C2033" t="s">
        <v>65</v>
      </c>
      <c r="D2033" t="s">
        <v>33</v>
      </c>
      <c r="E2033" t="s">
        <v>34</v>
      </c>
      <c r="F2033" t="str">
        <f>"0002344"</f>
        <v>0002344</v>
      </c>
      <c r="G2033">
        <v>1</v>
      </c>
      <c r="H2033" t="str">
        <f>"00000000"</f>
        <v>00000000</v>
      </c>
      <c r="I2033" t="s">
        <v>35</v>
      </c>
      <c r="J2033"/>
      <c r="K2033">
        <v>4.18</v>
      </c>
      <c r="L2033">
        <v>0.0</v>
      </c>
      <c r="M2033"/>
      <c r="N2033"/>
      <c r="O2033">
        <v>0.75</v>
      </c>
      <c r="P2033">
        <v>0.0</v>
      </c>
      <c r="Q2033">
        <v>4.94</v>
      </c>
      <c r="R2033"/>
      <c r="S2033"/>
      <c r="T2033"/>
      <c r="U2033"/>
      <c r="V2033"/>
      <c r="W2033">
        <v>18</v>
      </c>
    </row>
    <row r="2034" spans="1:23">
      <c r="A2034"/>
      <c r="B2034" t="s">
        <v>65</v>
      </c>
      <c r="C2034" t="s">
        <v>65</v>
      </c>
      <c r="D2034" t="s">
        <v>33</v>
      </c>
      <c r="E2034" t="s">
        <v>34</v>
      </c>
      <c r="F2034" t="str">
        <f>"0002345"</f>
        <v>0002345</v>
      </c>
      <c r="G2034">
        <v>1</v>
      </c>
      <c r="H2034" t="str">
        <f>"00000000"</f>
        <v>00000000</v>
      </c>
      <c r="I2034" t="s">
        <v>35</v>
      </c>
      <c r="J2034"/>
      <c r="K2034">
        <v>25.47</v>
      </c>
      <c r="L2034">
        <v>0.0</v>
      </c>
      <c r="M2034"/>
      <c r="N2034"/>
      <c r="O2034">
        <v>4.59</v>
      </c>
      <c r="P2034">
        <v>0.0</v>
      </c>
      <c r="Q2034">
        <v>30.06</v>
      </c>
      <c r="R2034"/>
      <c r="S2034"/>
      <c r="T2034"/>
      <c r="U2034"/>
      <c r="V2034"/>
      <c r="W2034">
        <v>18</v>
      </c>
    </row>
    <row r="2035" spans="1:23">
      <c r="A2035"/>
      <c r="B2035" t="s">
        <v>65</v>
      </c>
      <c r="C2035" t="s">
        <v>65</v>
      </c>
      <c r="D2035" t="s">
        <v>33</v>
      </c>
      <c r="E2035" t="s">
        <v>34</v>
      </c>
      <c r="F2035" t="str">
        <f>"0002346"</f>
        <v>0002346</v>
      </c>
      <c r="G2035">
        <v>1</v>
      </c>
      <c r="H2035" t="str">
        <f>"00000000"</f>
        <v>00000000</v>
      </c>
      <c r="I2035" t="s">
        <v>35</v>
      </c>
      <c r="J2035"/>
      <c r="K2035">
        <v>3.11</v>
      </c>
      <c r="L2035">
        <v>0.0</v>
      </c>
      <c r="M2035"/>
      <c r="N2035"/>
      <c r="O2035">
        <v>0.56</v>
      </c>
      <c r="P2035">
        <v>0.0</v>
      </c>
      <c r="Q2035">
        <v>3.67</v>
      </c>
      <c r="R2035"/>
      <c r="S2035"/>
      <c r="T2035"/>
      <c r="U2035"/>
      <c r="V2035"/>
      <c r="W2035">
        <v>18</v>
      </c>
    </row>
    <row r="2036" spans="1:23">
      <c r="A2036"/>
      <c r="B2036" t="s">
        <v>65</v>
      </c>
      <c r="C2036" t="s">
        <v>65</v>
      </c>
      <c r="D2036" t="s">
        <v>33</v>
      </c>
      <c r="E2036" t="s">
        <v>34</v>
      </c>
      <c r="F2036" t="str">
        <f>"0002347"</f>
        <v>0002347</v>
      </c>
      <c r="G2036">
        <v>1</v>
      </c>
      <c r="H2036" t="str">
        <f>"00000000"</f>
        <v>00000000</v>
      </c>
      <c r="I2036" t="s">
        <v>35</v>
      </c>
      <c r="J2036"/>
      <c r="K2036">
        <v>4.15</v>
      </c>
      <c r="L2036">
        <v>0.0</v>
      </c>
      <c r="M2036"/>
      <c r="N2036"/>
      <c r="O2036">
        <v>0.75</v>
      </c>
      <c r="P2036">
        <v>0.0</v>
      </c>
      <c r="Q2036">
        <v>4.9</v>
      </c>
      <c r="R2036"/>
      <c r="S2036"/>
      <c r="T2036"/>
      <c r="U2036"/>
      <c r="V2036"/>
      <c r="W2036">
        <v>18</v>
      </c>
    </row>
    <row r="2037" spans="1:23">
      <c r="A2037"/>
      <c r="B2037" t="s">
        <v>65</v>
      </c>
      <c r="C2037" t="s">
        <v>65</v>
      </c>
      <c r="D2037" t="s">
        <v>33</v>
      </c>
      <c r="E2037" t="s">
        <v>34</v>
      </c>
      <c r="F2037" t="str">
        <f>"0002348"</f>
        <v>0002348</v>
      </c>
      <c r="G2037">
        <v>1</v>
      </c>
      <c r="H2037" t="str">
        <f>"00000000"</f>
        <v>00000000</v>
      </c>
      <c r="I2037" t="s">
        <v>35</v>
      </c>
      <c r="J2037"/>
      <c r="K2037">
        <v>1.02</v>
      </c>
      <c r="L2037">
        <v>0.0</v>
      </c>
      <c r="M2037"/>
      <c r="N2037"/>
      <c r="O2037">
        <v>0.18</v>
      </c>
      <c r="P2037">
        <v>0.0</v>
      </c>
      <c r="Q2037">
        <v>1.2</v>
      </c>
      <c r="R2037"/>
      <c r="S2037"/>
      <c r="T2037"/>
      <c r="U2037"/>
      <c r="V2037"/>
      <c r="W2037">
        <v>18</v>
      </c>
    </row>
    <row r="2038" spans="1:23">
      <c r="A2038"/>
      <c r="B2038" t="s">
        <v>65</v>
      </c>
      <c r="C2038" t="s">
        <v>65</v>
      </c>
      <c r="D2038" t="s">
        <v>33</v>
      </c>
      <c r="E2038" t="s">
        <v>34</v>
      </c>
      <c r="F2038" t="str">
        <f>"0002349"</f>
        <v>0002349</v>
      </c>
      <c r="G2038">
        <v>1</v>
      </c>
      <c r="H2038" t="str">
        <f>"00000000"</f>
        <v>00000000</v>
      </c>
      <c r="I2038" t="s">
        <v>35</v>
      </c>
      <c r="J2038"/>
      <c r="K2038">
        <v>2.98</v>
      </c>
      <c r="L2038">
        <v>0.0</v>
      </c>
      <c r="M2038"/>
      <c r="N2038"/>
      <c r="O2038">
        <v>0.54</v>
      </c>
      <c r="P2038">
        <v>0.0</v>
      </c>
      <c r="Q2038">
        <v>3.51</v>
      </c>
      <c r="R2038"/>
      <c r="S2038"/>
      <c r="T2038"/>
      <c r="U2038"/>
      <c r="V2038"/>
      <c r="W2038">
        <v>18</v>
      </c>
    </row>
    <row r="2039" spans="1:23">
      <c r="A2039"/>
      <c r="B2039" t="s">
        <v>65</v>
      </c>
      <c r="C2039" t="s">
        <v>65</v>
      </c>
      <c r="D2039" t="s">
        <v>33</v>
      </c>
      <c r="E2039" t="s">
        <v>34</v>
      </c>
      <c r="F2039" t="str">
        <f>"0002350"</f>
        <v>0002350</v>
      </c>
      <c r="G2039">
        <v>1</v>
      </c>
      <c r="H2039" t="str">
        <f>"00000000"</f>
        <v>00000000</v>
      </c>
      <c r="I2039" t="s">
        <v>35</v>
      </c>
      <c r="J2039"/>
      <c r="K2039">
        <v>6.54</v>
      </c>
      <c r="L2039">
        <v>0.0</v>
      </c>
      <c r="M2039"/>
      <c r="N2039"/>
      <c r="O2039">
        <v>1.18</v>
      </c>
      <c r="P2039">
        <v>0.2</v>
      </c>
      <c r="Q2039">
        <v>7.92</v>
      </c>
      <c r="R2039"/>
      <c r="S2039"/>
      <c r="T2039"/>
      <c r="U2039"/>
      <c r="V2039"/>
      <c r="W2039">
        <v>18</v>
      </c>
    </row>
    <row r="2040" spans="1:23">
      <c r="A2040"/>
      <c r="B2040" t="s">
        <v>65</v>
      </c>
      <c r="C2040" t="s">
        <v>65</v>
      </c>
      <c r="D2040" t="s">
        <v>33</v>
      </c>
      <c r="E2040" t="s">
        <v>34</v>
      </c>
      <c r="F2040" t="str">
        <f>"0002351"</f>
        <v>0002351</v>
      </c>
      <c r="G2040">
        <v>1</v>
      </c>
      <c r="H2040" t="str">
        <f>"00000000"</f>
        <v>00000000</v>
      </c>
      <c r="I2040" t="s">
        <v>35</v>
      </c>
      <c r="J2040"/>
      <c r="K2040">
        <v>4.41</v>
      </c>
      <c r="L2040">
        <v>0.0</v>
      </c>
      <c r="M2040"/>
      <c r="N2040"/>
      <c r="O2040">
        <v>0.79</v>
      </c>
      <c r="P2040">
        <v>0.0</v>
      </c>
      <c r="Q2040">
        <v>5.2</v>
      </c>
      <c r="R2040"/>
      <c r="S2040"/>
      <c r="T2040"/>
      <c r="U2040"/>
      <c r="V2040"/>
      <c r="W2040">
        <v>18</v>
      </c>
    </row>
    <row r="2041" spans="1:23">
      <c r="A2041"/>
      <c r="B2041" t="s">
        <v>65</v>
      </c>
      <c r="C2041" t="s">
        <v>65</v>
      </c>
      <c r="D2041" t="s">
        <v>33</v>
      </c>
      <c r="E2041" t="s">
        <v>34</v>
      </c>
      <c r="F2041" t="str">
        <f>"0002352"</f>
        <v>0002352</v>
      </c>
      <c r="G2041">
        <v>1</v>
      </c>
      <c r="H2041" t="str">
        <f>"00000000"</f>
        <v>00000000</v>
      </c>
      <c r="I2041" t="s">
        <v>35</v>
      </c>
      <c r="J2041"/>
      <c r="K2041">
        <v>0.02</v>
      </c>
      <c r="L2041">
        <v>0.0</v>
      </c>
      <c r="M2041"/>
      <c r="N2041"/>
      <c r="O2041">
        <v>0.0</v>
      </c>
      <c r="P2041">
        <v>0.2</v>
      </c>
      <c r="Q2041">
        <v>0.22</v>
      </c>
      <c r="R2041"/>
      <c r="S2041"/>
      <c r="T2041"/>
      <c r="U2041"/>
      <c r="V2041"/>
      <c r="W2041">
        <v>18</v>
      </c>
    </row>
    <row r="2042" spans="1:23">
      <c r="A2042"/>
      <c r="B2042" t="s">
        <v>65</v>
      </c>
      <c r="C2042" t="s">
        <v>65</v>
      </c>
      <c r="D2042" t="s">
        <v>33</v>
      </c>
      <c r="E2042" t="s">
        <v>34</v>
      </c>
      <c r="F2042" t="str">
        <f>"0002353"</f>
        <v>0002353</v>
      </c>
      <c r="G2042">
        <v>1</v>
      </c>
      <c r="H2042" t="str">
        <f>"00000000"</f>
        <v>00000000</v>
      </c>
      <c r="I2042" t="s">
        <v>35</v>
      </c>
      <c r="J2042"/>
      <c r="K2042">
        <v>14.53</v>
      </c>
      <c r="L2042">
        <v>0.0</v>
      </c>
      <c r="M2042"/>
      <c r="N2042"/>
      <c r="O2042">
        <v>2.62</v>
      </c>
      <c r="P2042">
        <v>0.2</v>
      </c>
      <c r="Q2042">
        <v>17.35</v>
      </c>
      <c r="R2042"/>
      <c r="S2042"/>
      <c r="T2042"/>
      <c r="U2042"/>
      <c r="V2042"/>
      <c r="W2042">
        <v>18</v>
      </c>
    </row>
    <row r="2043" spans="1:23">
      <c r="A2043"/>
      <c r="B2043" t="s">
        <v>65</v>
      </c>
      <c r="C2043" t="s">
        <v>65</v>
      </c>
      <c r="D2043" t="s">
        <v>33</v>
      </c>
      <c r="E2043" t="s">
        <v>34</v>
      </c>
      <c r="F2043" t="str">
        <f>"0002354"</f>
        <v>0002354</v>
      </c>
      <c r="G2043">
        <v>1</v>
      </c>
      <c r="H2043" t="str">
        <f>"00000000"</f>
        <v>00000000</v>
      </c>
      <c r="I2043" t="s">
        <v>35</v>
      </c>
      <c r="J2043"/>
      <c r="K2043">
        <v>22.24</v>
      </c>
      <c r="L2043">
        <v>0.0</v>
      </c>
      <c r="M2043"/>
      <c r="N2043"/>
      <c r="O2043">
        <v>4.0</v>
      </c>
      <c r="P2043">
        <v>0.2</v>
      </c>
      <c r="Q2043">
        <v>26.44</v>
      </c>
      <c r="R2043"/>
      <c r="S2043"/>
      <c r="T2043"/>
      <c r="U2043"/>
      <c r="V2043"/>
      <c r="W2043">
        <v>18</v>
      </c>
    </row>
    <row r="2044" spans="1:23">
      <c r="A2044"/>
      <c r="B2044" t="s">
        <v>65</v>
      </c>
      <c r="C2044" t="s">
        <v>65</v>
      </c>
      <c r="D2044" t="s">
        <v>33</v>
      </c>
      <c r="E2044" t="s">
        <v>34</v>
      </c>
      <c r="F2044" t="str">
        <f>"0002355"</f>
        <v>0002355</v>
      </c>
      <c r="G2044">
        <v>1</v>
      </c>
      <c r="H2044" t="str">
        <f>"00000000"</f>
        <v>00000000</v>
      </c>
      <c r="I2044" t="s">
        <v>35</v>
      </c>
      <c r="J2044"/>
      <c r="K2044">
        <v>7.81</v>
      </c>
      <c r="L2044">
        <v>0.0</v>
      </c>
      <c r="M2044"/>
      <c r="N2044"/>
      <c r="O2044">
        <v>1.41</v>
      </c>
      <c r="P2044">
        <v>0.0</v>
      </c>
      <c r="Q2044">
        <v>9.22</v>
      </c>
      <c r="R2044"/>
      <c r="S2044"/>
      <c r="T2044"/>
      <c r="U2044"/>
      <c r="V2044"/>
      <c r="W2044">
        <v>18</v>
      </c>
    </row>
    <row r="2045" spans="1:23">
      <c r="A2045"/>
      <c r="B2045" t="s">
        <v>65</v>
      </c>
      <c r="C2045" t="s">
        <v>65</v>
      </c>
      <c r="D2045" t="s">
        <v>33</v>
      </c>
      <c r="E2045" t="s">
        <v>34</v>
      </c>
      <c r="F2045" t="str">
        <f>"0002356"</f>
        <v>0002356</v>
      </c>
      <c r="G2045">
        <v>1</v>
      </c>
      <c r="H2045" t="str">
        <f>"00000000"</f>
        <v>00000000</v>
      </c>
      <c r="I2045" t="s">
        <v>35</v>
      </c>
      <c r="J2045"/>
      <c r="K2045">
        <v>81.18</v>
      </c>
      <c r="L2045">
        <v>0.0</v>
      </c>
      <c r="M2045"/>
      <c r="N2045"/>
      <c r="O2045">
        <v>14.61</v>
      </c>
      <c r="P2045">
        <v>0.6</v>
      </c>
      <c r="Q2045">
        <v>96.39</v>
      </c>
      <c r="R2045"/>
      <c r="S2045"/>
      <c r="T2045"/>
      <c r="U2045"/>
      <c r="V2045"/>
      <c r="W2045">
        <v>18</v>
      </c>
    </row>
    <row r="2046" spans="1:23">
      <c r="A2046"/>
      <c r="B2046" t="s">
        <v>65</v>
      </c>
      <c r="C2046" t="s">
        <v>65</v>
      </c>
      <c r="D2046" t="s">
        <v>33</v>
      </c>
      <c r="E2046" t="s">
        <v>34</v>
      </c>
      <c r="F2046" t="str">
        <f>"0002357"</f>
        <v>0002357</v>
      </c>
      <c r="G2046">
        <v>1</v>
      </c>
      <c r="H2046" t="str">
        <f>"00000000"</f>
        <v>00000000</v>
      </c>
      <c r="I2046" t="s">
        <v>35</v>
      </c>
      <c r="J2046"/>
      <c r="K2046">
        <v>7.47</v>
      </c>
      <c r="L2046">
        <v>0.0</v>
      </c>
      <c r="M2046"/>
      <c r="N2046"/>
      <c r="O2046">
        <v>1.34</v>
      </c>
      <c r="P2046">
        <v>0.0</v>
      </c>
      <c r="Q2046">
        <v>8.81</v>
      </c>
      <c r="R2046"/>
      <c r="S2046"/>
      <c r="T2046"/>
      <c r="U2046"/>
      <c r="V2046"/>
      <c r="W2046">
        <v>18</v>
      </c>
    </row>
    <row r="2047" spans="1:23">
      <c r="A2047"/>
      <c r="B2047" t="s">
        <v>65</v>
      </c>
      <c r="C2047" t="s">
        <v>65</v>
      </c>
      <c r="D2047" t="s">
        <v>33</v>
      </c>
      <c r="E2047" t="s">
        <v>34</v>
      </c>
      <c r="F2047" t="str">
        <f>"0002358"</f>
        <v>0002358</v>
      </c>
      <c r="G2047">
        <v>1</v>
      </c>
      <c r="H2047" t="str">
        <f>"00000000"</f>
        <v>00000000</v>
      </c>
      <c r="I2047" t="s">
        <v>35</v>
      </c>
      <c r="J2047"/>
      <c r="K2047">
        <v>1.82</v>
      </c>
      <c r="L2047">
        <v>0.0</v>
      </c>
      <c r="M2047"/>
      <c r="N2047"/>
      <c r="O2047">
        <v>0.33</v>
      </c>
      <c r="P2047">
        <v>0.0</v>
      </c>
      <c r="Q2047">
        <v>2.15</v>
      </c>
      <c r="R2047"/>
      <c r="S2047"/>
      <c r="T2047"/>
      <c r="U2047"/>
      <c r="V2047"/>
      <c r="W2047">
        <v>18</v>
      </c>
    </row>
    <row r="2048" spans="1:23">
      <c r="A2048"/>
      <c r="B2048" t="s">
        <v>65</v>
      </c>
      <c r="C2048" t="s">
        <v>65</v>
      </c>
      <c r="D2048" t="s">
        <v>33</v>
      </c>
      <c r="E2048" t="s">
        <v>34</v>
      </c>
      <c r="F2048" t="str">
        <f>"0002359"</f>
        <v>0002359</v>
      </c>
      <c r="G2048">
        <v>1</v>
      </c>
      <c r="H2048" t="str">
        <f>"00000000"</f>
        <v>00000000</v>
      </c>
      <c r="I2048" t="s">
        <v>35</v>
      </c>
      <c r="J2048"/>
      <c r="K2048">
        <v>14.83</v>
      </c>
      <c r="L2048">
        <v>0.0</v>
      </c>
      <c r="M2048"/>
      <c r="N2048"/>
      <c r="O2048">
        <v>2.67</v>
      </c>
      <c r="P2048">
        <v>0.0</v>
      </c>
      <c r="Q2048">
        <v>17.5</v>
      </c>
      <c r="R2048"/>
      <c r="S2048"/>
      <c r="T2048"/>
      <c r="U2048"/>
      <c r="V2048"/>
      <c r="W2048">
        <v>18</v>
      </c>
    </row>
    <row r="2049" spans="1:23">
      <c r="A2049"/>
      <c r="B2049" t="s">
        <v>65</v>
      </c>
      <c r="C2049" t="s">
        <v>65</v>
      </c>
      <c r="D2049" t="s">
        <v>33</v>
      </c>
      <c r="E2049" t="s">
        <v>34</v>
      </c>
      <c r="F2049" t="str">
        <f>"0002360"</f>
        <v>0002360</v>
      </c>
      <c r="G2049">
        <v>1</v>
      </c>
      <c r="H2049" t="str">
        <f>"00000000"</f>
        <v>00000000</v>
      </c>
      <c r="I2049" t="s">
        <v>35</v>
      </c>
      <c r="J2049"/>
      <c r="K2049">
        <v>3.79</v>
      </c>
      <c r="L2049">
        <v>0.0</v>
      </c>
      <c r="M2049"/>
      <c r="N2049"/>
      <c r="O2049">
        <v>0.68</v>
      </c>
      <c r="P2049">
        <v>0.0</v>
      </c>
      <c r="Q2049">
        <v>4.48</v>
      </c>
      <c r="R2049"/>
      <c r="S2049"/>
      <c r="T2049"/>
      <c r="U2049"/>
      <c r="V2049"/>
      <c r="W2049">
        <v>18</v>
      </c>
    </row>
    <row r="2050" spans="1:23">
      <c r="A2050"/>
      <c r="B2050" t="s">
        <v>65</v>
      </c>
      <c r="C2050" t="s">
        <v>65</v>
      </c>
      <c r="D2050" t="s">
        <v>33</v>
      </c>
      <c r="E2050" t="s">
        <v>34</v>
      </c>
      <c r="F2050" t="str">
        <f>"0002361"</f>
        <v>0002361</v>
      </c>
      <c r="G2050">
        <v>1</v>
      </c>
      <c r="H2050" t="str">
        <f>"00000000"</f>
        <v>00000000</v>
      </c>
      <c r="I2050" t="s">
        <v>35</v>
      </c>
      <c r="J2050"/>
      <c r="K2050">
        <v>11.9</v>
      </c>
      <c r="L2050">
        <v>0.0</v>
      </c>
      <c r="M2050"/>
      <c r="N2050"/>
      <c r="O2050">
        <v>2.14</v>
      </c>
      <c r="P2050">
        <v>0.4</v>
      </c>
      <c r="Q2050">
        <v>14.44</v>
      </c>
      <c r="R2050"/>
      <c r="S2050"/>
      <c r="T2050"/>
      <c r="U2050"/>
      <c r="V2050"/>
      <c r="W2050">
        <v>18</v>
      </c>
    </row>
    <row r="2051" spans="1:23">
      <c r="A2051"/>
      <c r="B2051" t="s">
        <v>65</v>
      </c>
      <c r="C2051" t="s">
        <v>65</v>
      </c>
      <c r="D2051" t="s">
        <v>33</v>
      </c>
      <c r="E2051" t="s">
        <v>34</v>
      </c>
      <c r="F2051" t="str">
        <f>"0002362"</f>
        <v>0002362</v>
      </c>
      <c r="G2051">
        <v>1</v>
      </c>
      <c r="H2051" t="str">
        <f>"00000000"</f>
        <v>00000000</v>
      </c>
      <c r="I2051" t="s">
        <v>35</v>
      </c>
      <c r="J2051"/>
      <c r="K2051">
        <v>10.59</v>
      </c>
      <c r="L2051">
        <v>0.0</v>
      </c>
      <c r="M2051"/>
      <c r="N2051"/>
      <c r="O2051">
        <v>1.91</v>
      </c>
      <c r="P2051">
        <v>0.0</v>
      </c>
      <c r="Q2051">
        <v>12.5</v>
      </c>
      <c r="R2051"/>
      <c r="S2051"/>
      <c r="T2051"/>
      <c r="U2051"/>
      <c r="V2051"/>
      <c r="W2051">
        <v>18</v>
      </c>
    </row>
    <row r="2052" spans="1:23">
      <c r="A2052"/>
      <c r="B2052" t="s">
        <v>65</v>
      </c>
      <c r="C2052" t="s">
        <v>65</v>
      </c>
      <c r="D2052" t="s">
        <v>33</v>
      </c>
      <c r="E2052" t="s">
        <v>34</v>
      </c>
      <c r="F2052" t="str">
        <f>"0002363"</f>
        <v>0002363</v>
      </c>
      <c r="G2052">
        <v>6</v>
      </c>
      <c r="H2052" t="str">
        <f>"20602406335"</f>
        <v>20602406335</v>
      </c>
      <c r="I2052" t="s">
        <v>66</v>
      </c>
      <c r="J2052"/>
      <c r="K2052">
        <v>50.6</v>
      </c>
      <c r="L2052">
        <v>0.0</v>
      </c>
      <c r="M2052"/>
      <c r="N2052"/>
      <c r="O2052">
        <v>9.11</v>
      </c>
      <c r="P2052">
        <v>0.6</v>
      </c>
      <c r="Q2052">
        <v>60.31</v>
      </c>
      <c r="R2052"/>
      <c r="S2052"/>
      <c r="T2052"/>
      <c r="U2052"/>
      <c r="V2052"/>
      <c r="W2052">
        <v>18</v>
      </c>
    </row>
    <row r="2053" spans="1:23">
      <c r="A2053"/>
      <c r="B2053" t="s">
        <v>65</v>
      </c>
      <c r="C2053" t="s">
        <v>65</v>
      </c>
      <c r="D2053" t="s">
        <v>33</v>
      </c>
      <c r="E2053" t="s">
        <v>34</v>
      </c>
      <c r="F2053" t="str">
        <f>"0002364"</f>
        <v>0002364</v>
      </c>
      <c r="G2053">
        <v>1</v>
      </c>
      <c r="H2053" t="str">
        <f>"00000000"</f>
        <v>00000000</v>
      </c>
      <c r="I2053" t="s">
        <v>35</v>
      </c>
      <c r="J2053"/>
      <c r="K2053">
        <v>19.31</v>
      </c>
      <c r="L2053">
        <v>0.0</v>
      </c>
      <c r="M2053"/>
      <c r="N2053"/>
      <c r="O2053">
        <v>3.47</v>
      </c>
      <c r="P2053">
        <v>0.2</v>
      </c>
      <c r="Q2053">
        <v>22.98</v>
      </c>
      <c r="R2053"/>
      <c r="S2053"/>
      <c r="T2053"/>
      <c r="U2053"/>
      <c r="V2053"/>
      <c r="W2053">
        <v>18</v>
      </c>
    </row>
    <row r="2054" spans="1:23">
      <c r="A2054"/>
      <c r="B2054" t="s">
        <v>65</v>
      </c>
      <c r="C2054" t="s">
        <v>65</v>
      </c>
      <c r="D2054" t="s">
        <v>33</v>
      </c>
      <c r="E2054" t="s">
        <v>34</v>
      </c>
      <c r="F2054" t="str">
        <f>"0002365"</f>
        <v>0002365</v>
      </c>
      <c r="G2054">
        <v>1</v>
      </c>
      <c r="H2054" t="str">
        <f>"00000000"</f>
        <v>00000000</v>
      </c>
      <c r="I2054" t="s">
        <v>35</v>
      </c>
      <c r="J2054"/>
      <c r="K2054">
        <v>12.27</v>
      </c>
      <c r="L2054">
        <v>0.0</v>
      </c>
      <c r="M2054"/>
      <c r="N2054"/>
      <c r="O2054">
        <v>2.21</v>
      </c>
      <c r="P2054">
        <v>0.0</v>
      </c>
      <c r="Q2054">
        <v>14.48</v>
      </c>
      <c r="R2054"/>
      <c r="S2054"/>
      <c r="T2054"/>
      <c r="U2054"/>
      <c r="V2054"/>
      <c r="W2054">
        <v>18</v>
      </c>
    </row>
    <row r="2055" spans="1:23">
      <c r="A2055"/>
      <c r="B2055" t="s">
        <v>65</v>
      </c>
      <c r="C2055" t="s">
        <v>65</v>
      </c>
      <c r="D2055" t="s">
        <v>33</v>
      </c>
      <c r="E2055" t="s">
        <v>34</v>
      </c>
      <c r="F2055" t="str">
        <f>"0002366"</f>
        <v>0002366</v>
      </c>
      <c r="G2055">
        <v>1</v>
      </c>
      <c r="H2055" t="str">
        <f>"00000000"</f>
        <v>00000000</v>
      </c>
      <c r="I2055" t="s">
        <v>35</v>
      </c>
      <c r="J2055"/>
      <c r="K2055">
        <v>29.17</v>
      </c>
      <c r="L2055">
        <v>0.0</v>
      </c>
      <c r="M2055"/>
      <c r="N2055"/>
      <c r="O2055">
        <v>5.25</v>
      </c>
      <c r="P2055">
        <v>0.2</v>
      </c>
      <c r="Q2055">
        <v>34.62</v>
      </c>
      <c r="R2055"/>
      <c r="S2055"/>
      <c r="T2055"/>
      <c r="U2055"/>
      <c r="V2055"/>
      <c r="W2055">
        <v>18</v>
      </c>
    </row>
    <row r="2056" spans="1:23">
      <c r="A2056"/>
      <c r="B2056" t="s">
        <v>65</v>
      </c>
      <c r="C2056" t="s">
        <v>65</v>
      </c>
      <c r="D2056" t="s">
        <v>33</v>
      </c>
      <c r="E2056" t="s">
        <v>34</v>
      </c>
      <c r="F2056" t="str">
        <f>"0002367"</f>
        <v>0002367</v>
      </c>
      <c r="G2056">
        <v>1</v>
      </c>
      <c r="H2056" t="str">
        <f>"00000000"</f>
        <v>00000000</v>
      </c>
      <c r="I2056" t="s">
        <v>35</v>
      </c>
      <c r="J2056"/>
      <c r="K2056">
        <v>5.42</v>
      </c>
      <c r="L2056">
        <v>0.0</v>
      </c>
      <c r="M2056"/>
      <c r="N2056"/>
      <c r="O2056">
        <v>0.98</v>
      </c>
      <c r="P2056">
        <v>0.0</v>
      </c>
      <c r="Q2056">
        <v>6.4</v>
      </c>
      <c r="R2056"/>
      <c r="S2056"/>
      <c r="T2056"/>
      <c r="U2056"/>
      <c r="V2056"/>
      <c r="W2056">
        <v>18</v>
      </c>
    </row>
    <row r="2057" spans="1:23">
      <c r="A2057"/>
      <c r="B2057" t="s">
        <v>65</v>
      </c>
      <c r="C2057" t="s">
        <v>65</v>
      </c>
      <c r="D2057" t="s">
        <v>33</v>
      </c>
      <c r="E2057" t="s">
        <v>34</v>
      </c>
      <c r="F2057" t="str">
        <f>"0002368"</f>
        <v>0002368</v>
      </c>
      <c r="G2057">
        <v>1</v>
      </c>
      <c r="H2057" t="str">
        <f>"00000000"</f>
        <v>00000000</v>
      </c>
      <c r="I2057" t="s">
        <v>35</v>
      </c>
      <c r="J2057"/>
      <c r="K2057">
        <v>9.18</v>
      </c>
      <c r="L2057">
        <v>0.0</v>
      </c>
      <c r="M2057"/>
      <c r="N2057"/>
      <c r="O2057">
        <v>1.65</v>
      </c>
      <c r="P2057">
        <v>0.0</v>
      </c>
      <c r="Q2057">
        <v>10.83</v>
      </c>
      <c r="R2057"/>
      <c r="S2057"/>
      <c r="T2057"/>
      <c r="U2057"/>
      <c r="V2057"/>
      <c r="W2057">
        <v>18</v>
      </c>
    </row>
    <row r="2058" spans="1:23">
      <c r="A2058"/>
      <c r="B2058" t="s">
        <v>65</v>
      </c>
      <c r="C2058" t="s">
        <v>65</v>
      </c>
      <c r="D2058" t="s">
        <v>33</v>
      </c>
      <c r="E2058" t="s">
        <v>34</v>
      </c>
      <c r="F2058" t="str">
        <f>"0002369"</f>
        <v>0002369</v>
      </c>
      <c r="G2058">
        <v>1</v>
      </c>
      <c r="H2058" t="str">
        <f>"00000000"</f>
        <v>00000000</v>
      </c>
      <c r="I2058" t="s">
        <v>35</v>
      </c>
      <c r="J2058"/>
      <c r="K2058">
        <v>6.25</v>
      </c>
      <c r="L2058">
        <v>0.0</v>
      </c>
      <c r="M2058"/>
      <c r="N2058"/>
      <c r="O2058">
        <v>1.12</v>
      </c>
      <c r="P2058">
        <v>0.2</v>
      </c>
      <c r="Q2058">
        <v>7.57</v>
      </c>
      <c r="R2058"/>
      <c r="S2058"/>
      <c r="T2058"/>
      <c r="U2058"/>
      <c r="V2058"/>
      <c r="W2058">
        <v>18</v>
      </c>
    </row>
    <row r="2059" spans="1:23">
      <c r="A2059"/>
      <c r="B2059" t="s">
        <v>65</v>
      </c>
      <c r="C2059" t="s">
        <v>65</v>
      </c>
      <c r="D2059" t="s">
        <v>33</v>
      </c>
      <c r="E2059" t="s">
        <v>34</v>
      </c>
      <c r="F2059" t="str">
        <f>"0002370"</f>
        <v>0002370</v>
      </c>
      <c r="G2059">
        <v>1</v>
      </c>
      <c r="H2059" t="str">
        <f>"00000000"</f>
        <v>00000000</v>
      </c>
      <c r="I2059" t="s">
        <v>35</v>
      </c>
      <c r="J2059"/>
      <c r="K2059">
        <v>5.51</v>
      </c>
      <c r="L2059">
        <v>0.0</v>
      </c>
      <c r="M2059"/>
      <c r="N2059"/>
      <c r="O2059">
        <v>0.99</v>
      </c>
      <c r="P2059">
        <v>0.0</v>
      </c>
      <c r="Q2059">
        <v>6.5</v>
      </c>
      <c r="R2059"/>
      <c r="S2059"/>
      <c r="T2059"/>
      <c r="U2059"/>
      <c r="V2059"/>
      <c r="W2059">
        <v>18</v>
      </c>
    </row>
    <row r="2060" spans="1:23">
      <c r="A2060"/>
      <c r="B2060" t="s">
        <v>65</v>
      </c>
      <c r="C2060" t="s">
        <v>65</v>
      </c>
      <c r="D2060" t="s">
        <v>33</v>
      </c>
      <c r="E2060" t="s">
        <v>34</v>
      </c>
      <c r="F2060" t="str">
        <f>"0002371"</f>
        <v>0002371</v>
      </c>
      <c r="G2060">
        <v>1</v>
      </c>
      <c r="H2060" t="str">
        <f>"00000000"</f>
        <v>00000000</v>
      </c>
      <c r="I2060" t="s">
        <v>35</v>
      </c>
      <c r="J2060"/>
      <c r="K2060">
        <v>2.92</v>
      </c>
      <c r="L2060">
        <v>0.0</v>
      </c>
      <c r="M2060"/>
      <c r="N2060"/>
      <c r="O2060">
        <v>0.53</v>
      </c>
      <c r="P2060">
        <v>0.0</v>
      </c>
      <c r="Q2060">
        <v>3.45</v>
      </c>
      <c r="R2060"/>
      <c r="S2060"/>
      <c r="T2060"/>
      <c r="U2060"/>
      <c r="V2060"/>
      <c r="W2060">
        <v>18</v>
      </c>
    </row>
    <row r="2061" spans="1:23">
      <c r="A2061"/>
      <c r="B2061" t="s">
        <v>65</v>
      </c>
      <c r="C2061" t="s">
        <v>65</v>
      </c>
      <c r="D2061" t="s">
        <v>33</v>
      </c>
      <c r="E2061" t="s">
        <v>34</v>
      </c>
      <c r="F2061" t="str">
        <f>"0002372"</f>
        <v>0002372</v>
      </c>
      <c r="G2061">
        <v>1</v>
      </c>
      <c r="H2061" t="str">
        <f>"00000000"</f>
        <v>00000000</v>
      </c>
      <c r="I2061" t="s">
        <v>35</v>
      </c>
      <c r="J2061"/>
      <c r="K2061">
        <v>2.53</v>
      </c>
      <c r="L2061">
        <v>0.0</v>
      </c>
      <c r="M2061"/>
      <c r="N2061"/>
      <c r="O2061">
        <v>0.46</v>
      </c>
      <c r="P2061">
        <v>0.0</v>
      </c>
      <c r="Q2061">
        <v>2.99</v>
      </c>
      <c r="R2061"/>
      <c r="S2061"/>
      <c r="T2061"/>
      <c r="U2061"/>
      <c r="V2061"/>
      <c r="W2061">
        <v>18</v>
      </c>
    </row>
    <row r="2062" spans="1:23">
      <c r="A2062"/>
      <c r="B2062" t="s">
        <v>65</v>
      </c>
      <c r="C2062" t="s">
        <v>65</v>
      </c>
      <c r="D2062" t="s">
        <v>33</v>
      </c>
      <c r="E2062" t="s">
        <v>34</v>
      </c>
      <c r="F2062" t="str">
        <f>"0002373"</f>
        <v>0002373</v>
      </c>
      <c r="G2062">
        <v>1</v>
      </c>
      <c r="H2062" t="str">
        <f>"00000000"</f>
        <v>00000000</v>
      </c>
      <c r="I2062" t="s">
        <v>35</v>
      </c>
      <c r="J2062"/>
      <c r="K2062">
        <v>17.45</v>
      </c>
      <c r="L2062">
        <v>0.0</v>
      </c>
      <c r="M2062"/>
      <c r="N2062"/>
      <c r="O2062">
        <v>3.14</v>
      </c>
      <c r="P2062">
        <v>0.0</v>
      </c>
      <c r="Q2062">
        <v>20.59</v>
      </c>
      <c r="R2062"/>
      <c r="S2062"/>
      <c r="T2062"/>
      <c r="U2062"/>
      <c r="V2062"/>
      <c r="W2062">
        <v>18</v>
      </c>
    </row>
    <row r="2063" spans="1:23">
      <c r="A2063"/>
      <c r="B2063" t="s">
        <v>65</v>
      </c>
      <c r="C2063" t="s">
        <v>65</v>
      </c>
      <c r="D2063" t="s">
        <v>33</v>
      </c>
      <c r="E2063" t="s">
        <v>34</v>
      </c>
      <c r="F2063" t="str">
        <f>"0002374"</f>
        <v>0002374</v>
      </c>
      <c r="G2063">
        <v>1</v>
      </c>
      <c r="H2063" t="str">
        <f>"00000000"</f>
        <v>00000000</v>
      </c>
      <c r="I2063" t="s">
        <v>35</v>
      </c>
      <c r="J2063"/>
      <c r="K2063">
        <v>2.97</v>
      </c>
      <c r="L2063">
        <v>0.0</v>
      </c>
      <c r="M2063"/>
      <c r="N2063"/>
      <c r="O2063">
        <v>0.53</v>
      </c>
      <c r="P2063">
        <v>0.0</v>
      </c>
      <c r="Q2063">
        <v>3.5</v>
      </c>
      <c r="R2063"/>
      <c r="S2063"/>
      <c r="T2063"/>
      <c r="U2063"/>
      <c r="V2063"/>
      <c r="W2063">
        <v>18</v>
      </c>
    </row>
    <row r="2064" spans="1:23">
      <c r="A2064"/>
      <c r="B2064" t="s">
        <v>65</v>
      </c>
      <c r="C2064" t="s">
        <v>65</v>
      </c>
      <c r="D2064" t="s">
        <v>33</v>
      </c>
      <c r="E2064" t="s">
        <v>34</v>
      </c>
      <c r="F2064" t="str">
        <f>"0002375"</f>
        <v>0002375</v>
      </c>
      <c r="G2064">
        <v>1</v>
      </c>
      <c r="H2064" t="str">
        <f>"00000000"</f>
        <v>00000000</v>
      </c>
      <c r="I2064" t="s">
        <v>35</v>
      </c>
      <c r="J2064"/>
      <c r="K2064">
        <v>7.39</v>
      </c>
      <c r="L2064">
        <v>0.0</v>
      </c>
      <c r="M2064"/>
      <c r="N2064"/>
      <c r="O2064">
        <v>1.33</v>
      </c>
      <c r="P2064">
        <v>0.2</v>
      </c>
      <c r="Q2064">
        <v>8.92</v>
      </c>
      <c r="R2064"/>
      <c r="S2064"/>
      <c r="T2064"/>
      <c r="U2064"/>
      <c r="V2064"/>
      <c r="W2064">
        <v>18</v>
      </c>
    </row>
    <row r="2065" spans="1:23">
      <c r="A2065"/>
      <c r="B2065" t="s">
        <v>65</v>
      </c>
      <c r="C2065" t="s">
        <v>65</v>
      </c>
      <c r="D2065" t="s">
        <v>33</v>
      </c>
      <c r="E2065" t="s">
        <v>34</v>
      </c>
      <c r="F2065" t="str">
        <f>"0002376"</f>
        <v>0002376</v>
      </c>
      <c r="G2065">
        <v>1</v>
      </c>
      <c r="H2065" t="str">
        <f>"00000000"</f>
        <v>00000000</v>
      </c>
      <c r="I2065" t="s">
        <v>35</v>
      </c>
      <c r="J2065"/>
      <c r="K2065">
        <v>11.2</v>
      </c>
      <c r="L2065">
        <v>0.0</v>
      </c>
      <c r="M2065"/>
      <c r="N2065"/>
      <c r="O2065">
        <v>2.02</v>
      </c>
      <c r="P2065">
        <v>0.2</v>
      </c>
      <c r="Q2065">
        <v>13.42</v>
      </c>
      <c r="R2065"/>
      <c r="S2065"/>
      <c r="T2065"/>
      <c r="U2065"/>
      <c r="V2065"/>
      <c r="W2065">
        <v>18</v>
      </c>
    </row>
    <row r="2066" spans="1:23">
      <c r="A2066"/>
      <c r="B2066" t="s">
        <v>65</v>
      </c>
      <c r="C2066" t="s">
        <v>65</v>
      </c>
      <c r="D2066" t="s">
        <v>33</v>
      </c>
      <c r="E2066" t="s">
        <v>34</v>
      </c>
      <c r="F2066" t="str">
        <f>"0002377"</f>
        <v>0002377</v>
      </c>
      <c r="G2066">
        <v>1</v>
      </c>
      <c r="H2066" t="str">
        <f>"00000000"</f>
        <v>00000000</v>
      </c>
      <c r="I2066" t="s">
        <v>35</v>
      </c>
      <c r="J2066"/>
      <c r="K2066">
        <v>33.05</v>
      </c>
      <c r="L2066">
        <v>0.0</v>
      </c>
      <c r="M2066"/>
      <c r="N2066"/>
      <c r="O2066">
        <v>5.95</v>
      </c>
      <c r="P2066">
        <v>0.2</v>
      </c>
      <c r="Q2066">
        <v>39.2</v>
      </c>
      <c r="R2066"/>
      <c r="S2066"/>
      <c r="T2066"/>
      <c r="U2066"/>
      <c r="V2066"/>
      <c r="W2066">
        <v>18</v>
      </c>
    </row>
    <row r="2067" spans="1:23">
      <c r="A2067"/>
      <c r="B2067" t="s">
        <v>65</v>
      </c>
      <c r="C2067" t="s">
        <v>65</v>
      </c>
      <c r="D2067" t="s">
        <v>33</v>
      </c>
      <c r="E2067" t="s">
        <v>34</v>
      </c>
      <c r="F2067" t="str">
        <f>"0002378"</f>
        <v>0002378</v>
      </c>
      <c r="G2067">
        <v>1</v>
      </c>
      <c r="H2067" t="str">
        <f>"00000000"</f>
        <v>00000000</v>
      </c>
      <c r="I2067" t="s">
        <v>35</v>
      </c>
      <c r="J2067"/>
      <c r="K2067">
        <v>3.47</v>
      </c>
      <c r="L2067">
        <v>0.0</v>
      </c>
      <c r="M2067"/>
      <c r="N2067"/>
      <c r="O2067">
        <v>0.62</v>
      </c>
      <c r="P2067">
        <v>0.0</v>
      </c>
      <c r="Q2067">
        <v>4.09</v>
      </c>
      <c r="R2067"/>
      <c r="S2067"/>
      <c r="T2067"/>
      <c r="U2067"/>
      <c r="V2067"/>
      <c r="W2067">
        <v>18</v>
      </c>
    </row>
    <row r="2068" spans="1:23">
      <c r="A2068"/>
      <c r="B2068" t="s">
        <v>65</v>
      </c>
      <c r="C2068" t="s">
        <v>65</v>
      </c>
      <c r="D2068" t="s">
        <v>33</v>
      </c>
      <c r="E2068" t="s">
        <v>34</v>
      </c>
      <c r="F2068" t="str">
        <f>"0002379"</f>
        <v>0002379</v>
      </c>
      <c r="G2068">
        <v>1</v>
      </c>
      <c r="H2068" t="str">
        <f>"00000000"</f>
        <v>00000000</v>
      </c>
      <c r="I2068" t="s">
        <v>35</v>
      </c>
      <c r="J2068"/>
      <c r="K2068">
        <v>40.05</v>
      </c>
      <c r="L2068">
        <v>0.0</v>
      </c>
      <c r="M2068"/>
      <c r="N2068"/>
      <c r="O2068">
        <v>7.21</v>
      </c>
      <c r="P2068">
        <v>0.2</v>
      </c>
      <c r="Q2068">
        <v>47.46</v>
      </c>
      <c r="R2068"/>
      <c r="S2068"/>
      <c r="T2068"/>
      <c r="U2068"/>
      <c r="V2068"/>
      <c r="W2068">
        <v>18</v>
      </c>
    </row>
    <row r="2069" spans="1:23">
      <c r="A2069"/>
      <c r="B2069" t="s">
        <v>65</v>
      </c>
      <c r="C2069" t="s">
        <v>65</v>
      </c>
      <c r="D2069" t="s">
        <v>33</v>
      </c>
      <c r="E2069" t="s">
        <v>34</v>
      </c>
      <c r="F2069" t="str">
        <f>"0002380"</f>
        <v>0002380</v>
      </c>
      <c r="G2069">
        <v>1</v>
      </c>
      <c r="H2069" t="str">
        <f>"00000000"</f>
        <v>00000000</v>
      </c>
      <c r="I2069" t="s">
        <v>35</v>
      </c>
      <c r="J2069"/>
      <c r="K2069">
        <v>17.93</v>
      </c>
      <c r="L2069">
        <v>0.0</v>
      </c>
      <c r="M2069"/>
      <c r="N2069"/>
      <c r="O2069">
        <v>3.23</v>
      </c>
      <c r="P2069">
        <v>0.2</v>
      </c>
      <c r="Q2069">
        <v>21.36</v>
      </c>
      <c r="R2069"/>
      <c r="S2069"/>
      <c r="T2069"/>
      <c r="U2069"/>
      <c r="V2069"/>
      <c r="W2069">
        <v>18</v>
      </c>
    </row>
    <row r="2070" spans="1:23">
      <c r="A2070"/>
      <c r="B2070" t="s">
        <v>65</v>
      </c>
      <c r="C2070" t="s">
        <v>65</v>
      </c>
      <c r="D2070" t="s">
        <v>33</v>
      </c>
      <c r="E2070" t="s">
        <v>34</v>
      </c>
      <c r="F2070" t="str">
        <f>"0002381"</f>
        <v>0002381</v>
      </c>
      <c r="G2070">
        <v>1</v>
      </c>
      <c r="H2070" t="str">
        <f>"00000000"</f>
        <v>00000000</v>
      </c>
      <c r="I2070" t="s">
        <v>35</v>
      </c>
      <c r="J2070"/>
      <c r="K2070">
        <v>21.18</v>
      </c>
      <c r="L2070">
        <v>0.0</v>
      </c>
      <c r="M2070"/>
      <c r="N2070"/>
      <c r="O2070">
        <v>3.81</v>
      </c>
      <c r="P2070">
        <v>0.0</v>
      </c>
      <c r="Q2070">
        <v>24.99</v>
      </c>
      <c r="R2070"/>
      <c r="S2070"/>
      <c r="T2070"/>
      <c r="U2070"/>
      <c r="V2070"/>
      <c r="W2070">
        <v>18</v>
      </c>
    </row>
    <row r="2071" spans="1:23">
      <c r="A2071"/>
      <c r="B2071" t="s">
        <v>65</v>
      </c>
      <c r="C2071" t="s">
        <v>65</v>
      </c>
      <c r="D2071" t="s">
        <v>33</v>
      </c>
      <c r="E2071" t="s">
        <v>34</v>
      </c>
      <c r="F2071" t="str">
        <f>"0002382"</f>
        <v>0002382</v>
      </c>
      <c r="G2071">
        <v>1</v>
      </c>
      <c r="H2071" t="str">
        <f>"00000000"</f>
        <v>00000000</v>
      </c>
      <c r="I2071" t="s">
        <v>35</v>
      </c>
      <c r="J2071"/>
      <c r="K2071">
        <v>4.69</v>
      </c>
      <c r="L2071">
        <v>0.0</v>
      </c>
      <c r="M2071"/>
      <c r="N2071"/>
      <c r="O2071">
        <v>0.84</v>
      </c>
      <c r="P2071">
        <v>0.0</v>
      </c>
      <c r="Q2071">
        <v>5.53</v>
      </c>
      <c r="R2071"/>
      <c r="S2071"/>
      <c r="T2071"/>
      <c r="U2071"/>
      <c r="V2071"/>
      <c r="W2071">
        <v>18</v>
      </c>
    </row>
    <row r="2072" spans="1:23">
      <c r="A2072"/>
      <c r="B2072" t="s">
        <v>65</v>
      </c>
      <c r="C2072" t="s">
        <v>65</v>
      </c>
      <c r="D2072" t="s">
        <v>36</v>
      </c>
      <c r="E2072" t="s">
        <v>37</v>
      </c>
      <c r="F2072" t="str">
        <f>"0000034"</f>
        <v>0000034</v>
      </c>
      <c r="G2072">
        <v>6</v>
      </c>
      <c r="H2072" t="str">
        <f>"20603217617"</f>
        <v>20603217617</v>
      </c>
      <c r="I2072" t="s">
        <v>67</v>
      </c>
      <c r="J2072"/>
      <c r="K2072">
        <v>7.56</v>
      </c>
      <c r="L2072">
        <v>0.0</v>
      </c>
      <c r="M2072"/>
      <c r="N2072"/>
      <c r="O2072">
        <v>1.36</v>
      </c>
      <c r="P2072">
        <v>0.2</v>
      </c>
      <c r="Q2072">
        <v>9.12</v>
      </c>
      <c r="R2072"/>
      <c r="S2072"/>
      <c r="T2072"/>
      <c r="U2072"/>
      <c r="V2072"/>
      <c r="W2072">
        <v>18</v>
      </c>
    </row>
    <row r="2073" spans="1:23">
      <c r="A2073"/>
      <c r="B2073" t="s">
        <v>65</v>
      </c>
      <c r="C2073" t="s">
        <v>65</v>
      </c>
      <c r="D2073" t="s">
        <v>33</v>
      </c>
      <c r="E2073" t="s">
        <v>34</v>
      </c>
      <c r="F2073" t="str">
        <f>"0002383"</f>
        <v>0002383</v>
      </c>
      <c r="G2073">
        <v>1</v>
      </c>
      <c r="H2073" t="str">
        <f>"00000000"</f>
        <v>00000000</v>
      </c>
      <c r="I2073" t="s">
        <v>35</v>
      </c>
      <c r="J2073"/>
      <c r="K2073">
        <v>3.62</v>
      </c>
      <c r="L2073">
        <v>0.0</v>
      </c>
      <c r="M2073"/>
      <c r="N2073"/>
      <c r="O2073">
        <v>0.65</v>
      </c>
      <c r="P2073">
        <v>0.0</v>
      </c>
      <c r="Q2073">
        <v>4.28</v>
      </c>
      <c r="R2073"/>
      <c r="S2073"/>
      <c r="T2073"/>
      <c r="U2073"/>
      <c r="V2073"/>
      <c r="W2073">
        <v>18</v>
      </c>
    </row>
    <row r="2074" spans="1:23">
      <c r="A2074"/>
      <c r="B2074" t="s">
        <v>65</v>
      </c>
      <c r="C2074" t="s">
        <v>65</v>
      </c>
      <c r="D2074" t="s">
        <v>33</v>
      </c>
      <c r="E2074" t="s">
        <v>34</v>
      </c>
      <c r="F2074" t="str">
        <f>"0002384"</f>
        <v>0002384</v>
      </c>
      <c r="G2074">
        <v>1</v>
      </c>
      <c r="H2074" t="str">
        <f>"00000000"</f>
        <v>00000000</v>
      </c>
      <c r="I2074" t="s">
        <v>35</v>
      </c>
      <c r="J2074"/>
      <c r="K2074">
        <v>11.83</v>
      </c>
      <c r="L2074">
        <v>0.0</v>
      </c>
      <c r="M2074"/>
      <c r="N2074"/>
      <c r="O2074">
        <v>2.13</v>
      </c>
      <c r="P2074">
        <v>0.2</v>
      </c>
      <c r="Q2074">
        <v>14.16</v>
      </c>
      <c r="R2074"/>
      <c r="S2074"/>
      <c r="T2074"/>
      <c r="U2074"/>
      <c r="V2074"/>
      <c r="W2074">
        <v>18</v>
      </c>
    </row>
    <row r="2075" spans="1:23">
      <c r="A2075"/>
      <c r="B2075" t="s">
        <v>65</v>
      </c>
      <c r="C2075" t="s">
        <v>65</v>
      </c>
      <c r="D2075" t="s">
        <v>33</v>
      </c>
      <c r="E2075" t="s">
        <v>34</v>
      </c>
      <c r="F2075" t="str">
        <f>"0002385"</f>
        <v>0002385</v>
      </c>
      <c r="G2075">
        <v>1</v>
      </c>
      <c r="H2075" t="str">
        <f>"00000000"</f>
        <v>00000000</v>
      </c>
      <c r="I2075" t="s">
        <v>35</v>
      </c>
      <c r="J2075"/>
      <c r="K2075">
        <v>11.9</v>
      </c>
      <c r="L2075">
        <v>0.0</v>
      </c>
      <c r="M2075"/>
      <c r="N2075"/>
      <c r="O2075">
        <v>2.14</v>
      </c>
      <c r="P2075">
        <v>0.2</v>
      </c>
      <c r="Q2075">
        <v>14.24</v>
      </c>
      <c r="R2075"/>
      <c r="S2075"/>
      <c r="T2075"/>
      <c r="U2075"/>
      <c r="V2075"/>
      <c r="W2075">
        <v>18</v>
      </c>
    </row>
    <row r="2076" spans="1:23">
      <c r="A2076"/>
      <c r="B2076" t="s">
        <v>65</v>
      </c>
      <c r="C2076" t="s">
        <v>65</v>
      </c>
      <c r="D2076" t="s">
        <v>33</v>
      </c>
      <c r="E2076" t="s">
        <v>34</v>
      </c>
      <c r="F2076" t="str">
        <f>"0002386"</f>
        <v>0002386</v>
      </c>
      <c r="G2076">
        <v>1</v>
      </c>
      <c r="H2076" t="str">
        <f>"00000000"</f>
        <v>00000000</v>
      </c>
      <c r="I2076" t="s">
        <v>35</v>
      </c>
      <c r="J2076"/>
      <c r="K2076">
        <v>4.84</v>
      </c>
      <c r="L2076">
        <v>0.0</v>
      </c>
      <c r="M2076"/>
      <c r="N2076"/>
      <c r="O2076">
        <v>0.87</v>
      </c>
      <c r="P2076">
        <v>0.0</v>
      </c>
      <c r="Q2076">
        <v>5.71</v>
      </c>
      <c r="R2076"/>
      <c r="S2076"/>
      <c r="T2076"/>
      <c r="U2076"/>
      <c r="V2076"/>
      <c r="W2076">
        <v>18</v>
      </c>
    </row>
    <row r="2077" spans="1:23">
      <c r="A2077"/>
      <c r="B2077" t="s">
        <v>65</v>
      </c>
      <c r="C2077" t="s">
        <v>65</v>
      </c>
      <c r="D2077" t="s">
        <v>33</v>
      </c>
      <c r="E2077" t="s">
        <v>34</v>
      </c>
      <c r="F2077" t="str">
        <f>"0002387"</f>
        <v>0002387</v>
      </c>
      <c r="G2077">
        <v>1</v>
      </c>
      <c r="H2077" t="str">
        <f>"00000000"</f>
        <v>00000000</v>
      </c>
      <c r="I2077" t="s">
        <v>35</v>
      </c>
      <c r="J2077"/>
      <c r="K2077">
        <v>8.93</v>
      </c>
      <c r="L2077">
        <v>0.0</v>
      </c>
      <c r="M2077"/>
      <c r="N2077"/>
      <c r="O2077">
        <v>1.61</v>
      </c>
      <c r="P2077">
        <v>0.2</v>
      </c>
      <c r="Q2077">
        <v>10.74</v>
      </c>
      <c r="R2077"/>
      <c r="S2077"/>
      <c r="T2077"/>
      <c r="U2077"/>
      <c r="V2077"/>
      <c r="W2077">
        <v>18</v>
      </c>
    </row>
    <row r="2078" spans="1:23">
      <c r="A2078"/>
      <c r="B2078" t="s">
        <v>65</v>
      </c>
      <c r="C2078" t="s">
        <v>65</v>
      </c>
      <c r="D2078" t="s">
        <v>33</v>
      </c>
      <c r="E2078" t="s">
        <v>34</v>
      </c>
      <c r="F2078" t="str">
        <f>"0002388"</f>
        <v>0002388</v>
      </c>
      <c r="G2078">
        <v>1</v>
      </c>
      <c r="H2078" t="str">
        <f>"00000000"</f>
        <v>00000000</v>
      </c>
      <c r="I2078" t="s">
        <v>35</v>
      </c>
      <c r="J2078"/>
      <c r="K2078">
        <v>66.73</v>
      </c>
      <c r="L2078">
        <v>0.0</v>
      </c>
      <c r="M2078"/>
      <c r="N2078"/>
      <c r="O2078">
        <v>12.01</v>
      </c>
      <c r="P2078">
        <v>0.8</v>
      </c>
      <c r="Q2078">
        <v>79.55</v>
      </c>
      <c r="R2078"/>
      <c r="S2078"/>
      <c r="T2078"/>
      <c r="U2078"/>
      <c r="V2078"/>
      <c r="W2078">
        <v>18</v>
      </c>
    </row>
    <row r="2079" spans="1:23">
      <c r="A2079"/>
      <c r="B2079" t="s">
        <v>65</v>
      </c>
      <c r="C2079" t="s">
        <v>65</v>
      </c>
      <c r="D2079" t="s">
        <v>33</v>
      </c>
      <c r="E2079" t="s">
        <v>34</v>
      </c>
      <c r="F2079" t="str">
        <f>"0002389"</f>
        <v>0002389</v>
      </c>
      <c r="G2079">
        <v>1</v>
      </c>
      <c r="H2079" t="str">
        <f>"00000000"</f>
        <v>00000000</v>
      </c>
      <c r="I2079" t="s">
        <v>35</v>
      </c>
      <c r="J2079"/>
      <c r="K2079">
        <v>5.25</v>
      </c>
      <c r="L2079">
        <v>0.0</v>
      </c>
      <c r="M2079"/>
      <c r="N2079"/>
      <c r="O2079">
        <v>0.95</v>
      </c>
      <c r="P2079">
        <v>0.0</v>
      </c>
      <c r="Q2079">
        <v>6.2</v>
      </c>
      <c r="R2079"/>
      <c r="S2079"/>
      <c r="T2079"/>
      <c r="U2079"/>
      <c r="V2079"/>
      <c r="W2079">
        <v>18</v>
      </c>
    </row>
    <row r="2080" spans="1:23">
      <c r="A2080"/>
      <c r="B2080" t="s">
        <v>65</v>
      </c>
      <c r="C2080" t="s">
        <v>65</v>
      </c>
      <c r="D2080" t="s">
        <v>33</v>
      </c>
      <c r="E2080" t="s">
        <v>34</v>
      </c>
      <c r="F2080" t="str">
        <f>"0002390"</f>
        <v>0002390</v>
      </c>
      <c r="G2080">
        <v>1</v>
      </c>
      <c r="H2080" t="str">
        <f>"00000000"</f>
        <v>00000000</v>
      </c>
      <c r="I2080" t="s">
        <v>35</v>
      </c>
      <c r="J2080"/>
      <c r="K2080">
        <v>6.29</v>
      </c>
      <c r="L2080">
        <v>0.0</v>
      </c>
      <c r="M2080"/>
      <c r="N2080"/>
      <c r="O2080">
        <v>1.13</v>
      </c>
      <c r="P2080">
        <v>0.2</v>
      </c>
      <c r="Q2080">
        <v>7.62</v>
      </c>
      <c r="R2080"/>
      <c r="S2080"/>
      <c r="T2080"/>
      <c r="U2080"/>
      <c r="V2080"/>
      <c r="W2080">
        <v>18</v>
      </c>
    </row>
    <row r="2081" spans="1:23">
      <c r="A2081"/>
      <c r="B2081" t="s">
        <v>65</v>
      </c>
      <c r="C2081" t="s">
        <v>65</v>
      </c>
      <c r="D2081" t="s">
        <v>33</v>
      </c>
      <c r="E2081" t="s">
        <v>34</v>
      </c>
      <c r="F2081" t="str">
        <f>"0002391"</f>
        <v>0002391</v>
      </c>
      <c r="G2081">
        <v>1</v>
      </c>
      <c r="H2081" t="str">
        <f>"00000000"</f>
        <v>00000000</v>
      </c>
      <c r="I2081" t="s">
        <v>35</v>
      </c>
      <c r="J2081"/>
      <c r="K2081">
        <v>5.23</v>
      </c>
      <c r="L2081">
        <v>0.0</v>
      </c>
      <c r="M2081"/>
      <c r="N2081"/>
      <c r="O2081">
        <v>0.94</v>
      </c>
      <c r="P2081">
        <v>0.0</v>
      </c>
      <c r="Q2081">
        <v>6.17</v>
      </c>
      <c r="R2081"/>
      <c r="S2081"/>
      <c r="T2081"/>
      <c r="U2081"/>
      <c r="V2081"/>
      <c r="W2081">
        <v>18</v>
      </c>
    </row>
    <row r="2082" spans="1:23">
      <c r="A2082"/>
      <c r="B2082" t="s">
        <v>65</v>
      </c>
      <c r="C2082" t="s">
        <v>65</v>
      </c>
      <c r="D2082" t="s">
        <v>36</v>
      </c>
      <c r="E2082" t="s">
        <v>37</v>
      </c>
      <c r="F2082" t="str">
        <f>"0000035"</f>
        <v>0000035</v>
      </c>
      <c r="G2082">
        <v>6</v>
      </c>
      <c r="H2082" t="str">
        <f>"20602406335"</f>
        <v>20602406335</v>
      </c>
      <c r="I2082" t="s">
        <v>66</v>
      </c>
      <c r="J2082"/>
      <c r="K2082">
        <v>50.6</v>
      </c>
      <c r="L2082">
        <v>0.0</v>
      </c>
      <c r="M2082"/>
      <c r="N2082"/>
      <c r="O2082">
        <v>9.11</v>
      </c>
      <c r="P2082">
        <v>0.6</v>
      </c>
      <c r="Q2082">
        <v>60.31</v>
      </c>
      <c r="R2082"/>
      <c r="S2082"/>
      <c r="T2082"/>
      <c r="U2082"/>
      <c r="V2082"/>
      <c r="W2082">
        <v>18</v>
      </c>
    </row>
    <row r="2083" spans="1:23">
      <c r="A2083"/>
      <c r="B2083" t="s">
        <v>65</v>
      </c>
      <c r="C2083" t="s">
        <v>65</v>
      </c>
      <c r="D2083" t="s">
        <v>33</v>
      </c>
      <c r="E2083" t="s">
        <v>34</v>
      </c>
      <c r="F2083" t="str">
        <f>"0002392"</f>
        <v>0002392</v>
      </c>
      <c r="G2083">
        <v>1</v>
      </c>
      <c r="H2083" t="str">
        <f>"00000000"</f>
        <v>00000000</v>
      </c>
      <c r="I2083" t="s">
        <v>35</v>
      </c>
      <c r="J2083"/>
      <c r="K2083">
        <v>16.57</v>
      </c>
      <c r="L2083">
        <v>0.0</v>
      </c>
      <c r="M2083"/>
      <c r="N2083"/>
      <c r="O2083">
        <v>2.98</v>
      </c>
      <c r="P2083">
        <v>0.2</v>
      </c>
      <c r="Q2083">
        <v>19.75</v>
      </c>
      <c r="R2083"/>
      <c r="S2083"/>
      <c r="T2083"/>
      <c r="U2083"/>
      <c r="V2083"/>
      <c r="W2083">
        <v>18</v>
      </c>
    </row>
    <row r="2084" spans="1:23">
      <c r="A2084"/>
      <c r="B2084" t="s">
        <v>65</v>
      </c>
      <c r="C2084" t="s">
        <v>65</v>
      </c>
      <c r="D2084" t="s">
        <v>33</v>
      </c>
      <c r="E2084" t="s">
        <v>34</v>
      </c>
      <c r="F2084" t="str">
        <f>"0002393"</f>
        <v>0002393</v>
      </c>
      <c r="G2084">
        <v>1</v>
      </c>
      <c r="H2084" t="str">
        <f>"00000000"</f>
        <v>00000000</v>
      </c>
      <c r="I2084" t="s">
        <v>35</v>
      </c>
      <c r="J2084"/>
      <c r="K2084">
        <v>6.78</v>
      </c>
      <c r="L2084">
        <v>0.0</v>
      </c>
      <c r="M2084"/>
      <c r="N2084"/>
      <c r="O2084">
        <v>1.22</v>
      </c>
      <c r="P2084">
        <v>0.0</v>
      </c>
      <c r="Q2084">
        <v>8.0</v>
      </c>
      <c r="R2084"/>
      <c r="S2084"/>
      <c r="T2084"/>
      <c r="U2084"/>
      <c r="V2084"/>
      <c r="W2084">
        <v>18</v>
      </c>
    </row>
    <row r="2085" spans="1:23">
      <c r="A2085"/>
      <c r="B2085" t="s">
        <v>65</v>
      </c>
      <c r="C2085" t="s">
        <v>65</v>
      </c>
      <c r="D2085" t="s">
        <v>33</v>
      </c>
      <c r="E2085" t="s">
        <v>34</v>
      </c>
      <c r="F2085" t="str">
        <f>"0002394"</f>
        <v>0002394</v>
      </c>
      <c r="G2085">
        <v>1</v>
      </c>
      <c r="H2085" t="str">
        <f>"00000000"</f>
        <v>00000000</v>
      </c>
      <c r="I2085" t="s">
        <v>35</v>
      </c>
      <c r="J2085"/>
      <c r="K2085">
        <v>1.69</v>
      </c>
      <c r="L2085">
        <v>0.0</v>
      </c>
      <c r="M2085"/>
      <c r="N2085"/>
      <c r="O2085">
        <v>0.31</v>
      </c>
      <c r="P2085">
        <v>0.0</v>
      </c>
      <c r="Q2085">
        <v>2.0</v>
      </c>
      <c r="R2085"/>
      <c r="S2085"/>
      <c r="T2085"/>
      <c r="U2085"/>
      <c r="V2085"/>
      <c r="W2085">
        <v>18</v>
      </c>
    </row>
    <row r="2086" spans="1:23">
      <c r="A2086"/>
      <c r="B2086" t="s">
        <v>65</v>
      </c>
      <c r="C2086" t="s">
        <v>65</v>
      </c>
      <c r="D2086" t="s">
        <v>33</v>
      </c>
      <c r="E2086" t="s">
        <v>34</v>
      </c>
      <c r="F2086" t="str">
        <f>"0002395"</f>
        <v>0002395</v>
      </c>
      <c r="G2086">
        <v>1</v>
      </c>
      <c r="H2086" t="str">
        <f>"00000000"</f>
        <v>00000000</v>
      </c>
      <c r="I2086" t="s">
        <v>35</v>
      </c>
      <c r="J2086"/>
      <c r="K2086">
        <v>10.74</v>
      </c>
      <c r="L2086">
        <v>0.0</v>
      </c>
      <c r="M2086"/>
      <c r="N2086"/>
      <c r="O2086">
        <v>1.93</v>
      </c>
      <c r="P2086">
        <v>0.0</v>
      </c>
      <c r="Q2086">
        <v>12.68</v>
      </c>
      <c r="R2086"/>
      <c r="S2086"/>
      <c r="T2086"/>
      <c r="U2086"/>
      <c r="V2086"/>
      <c r="W2086">
        <v>18</v>
      </c>
    </row>
    <row r="2087" spans="1:23">
      <c r="A2087"/>
      <c r="B2087" t="s">
        <v>65</v>
      </c>
      <c r="C2087" t="s">
        <v>65</v>
      </c>
      <c r="D2087" t="s">
        <v>33</v>
      </c>
      <c r="E2087" t="s">
        <v>34</v>
      </c>
      <c r="F2087" t="str">
        <f>"0002396"</f>
        <v>0002396</v>
      </c>
      <c r="G2087">
        <v>1</v>
      </c>
      <c r="H2087" t="str">
        <f>"00000000"</f>
        <v>00000000</v>
      </c>
      <c r="I2087" t="s">
        <v>35</v>
      </c>
      <c r="J2087"/>
      <c r="K2087">
        <v>1.95</v>
      </c>
      <c r="L2087">
        <v>0.0</v>
      </c>
      <c r="M2087"/>
      <c r="N2087"/>
      <c r="O2087">
        <v>0.35</v>
      </c>
      <c r="P2087">
        <v>0.0</v>
      </c>
      <c r="Q2087">
        <v>2.31</v>
      </c>
      <c r="R2087"/>
      <c r="S2087"/>
      <c r="T2087"/>
      <c r="U2087"/>
      <c r="V2087"/>
      <c r="W2087">
        <v>18</v>
      </c>
    </row>
    <row r="2088" spans="1:23">
      <c r="A2088"/>
      <c r="B2088" t="s">
        <v>65</v>
      </c>
      <c r="C2088" t="s">
        <v>65</v>
      </c>
      <c r="D2088" t="s">
        <v>33</v>
      </c>
      <c r="E2088" t="s">
        <v>34</v>
      </c>
      <c r="F2088" t="str">
        <f>"0002397"</f>
        <v>0002397</v>
      </c>
      <c r="G2088">
        <v>1</v>
      </c>
      <c r="H2088" t="str">
        <f>"00000000"</f>
        <v>00000000</v>
      </c>
      <c r="I2088" t="s">
        <v>35</v>
      </c>
      <c r="J2088"/>
      <c r="K2088">
        <v>15.77</v>
      </c>
      <c r="L2088">
        <v>0.0</v>
      </c>
      <c r="M2088"/>
      <c r="N2088"/>
      <c r="O2088">
        <v>2.84</v>
      </c>
      <c r="P2088">
        <v>0.2</v>
      </c>
      <c r="Q2088">
        <v>18.8</v>
      </c>
      <c r="R2088"/>
      <c r="S2088"/>
      <c r="T2088"/>
      <c r="U2088"/>
      <c r="V2088"/>
      <c r="W2088">
        <v>18</v>
      </c>
    </row>
    <row r="2089" spans="1:23">
      <c r="A2089"/>
      <c r="B2089" t="s">
        <v>65</v>
      </c>
      <c r="C2089" t="s">
        <v>65</v>
      </c>
      <c r="D2089" t="s">
        <v>33</v>
      </c>
      <c r="E2089" t="s">
        <v>34</v>
      </c>
      <c r="F2089" t="str">
        <f>"0002398"</f>
        <v>0002398</v>
      </c>
      <c r="G2089">
        <v>1</v>
      </c>
      <c r="H2089" t="str">
        <f>"00000000"</f>
        <v>00000000</v>
      </c>
      <c r="I2089" t="s">
        <v>35</v>
      </c>
      <c r="J2089"/>
      <c r="K2089">
        <v>6.23</v>
      </c>
      <c r="L2089">
        <v>0.0</v>
      </c>
      <c r="M2089"/>
      <c r="N2089"/>
      <c r="O2089">
        <v>1.12</v>
      </c>
      <c r="P2089">
        <v>0.0</v>
      </c>
      <c r="Q2089">
        <v>7.35</v>
      </c>
      <c r="R2089"/>
      <c r="S2089"/>
      <c r="T2089"/>
      <c r="U2089"/>
      <c r="V2089"/>
      <c r="W2089">
        <v>18</v>
      </c>
    </row>
    <row r="2090" spans="1:23">
      <c r="A2090"/>
      <c r="B2090" t="s">
        <v>65</v>
      </c>
      <c r="C2090" t="s">
        <v>65</v>
      </c>
      <c r="D2090" t="s">
        <v>33</v>
      </c>
      <c r="E2090" t="s">
        <v>34</v>
      </c>
      <c r="F2090" t="str">
        <f>"0002399"</f>
        <v>0002399</v>
      </c>
      <c r="G2090">
        <v>1</v>
      </c>
      <c r="H2090" t="str">
        <f>"00000000"</f>
        <v>00000000</v>
      </c>
      <c r="I2090" t="s">
        <v>35</v>
      </c>
      <c r="J2090"/>
      <c r="K2090">
        <v>1.1</v>
      </c>
      <c r="L2090">
        <v>0.0</v>
      </c>
      <c r="M2090"/>
      <c r="N2090"/>
      <c r="O2090">
        <v>0.2</v>
      </c>
      <c r="P2090">
        <v>0.0</v>
      </c>
      <c r="Q2090">
        <v>1.29</v>
      </c>
      <c r="R2090"/>
      <c r="S2090"/>
      <c r="T2090"/>
      <c r="U2090"/>
      <c r="V2090"/>
      <c r="W2090">
        <v>18</v>
      </c>
    </row>
    <row r="2091" spans="1:23">
      <c r="A2091"/>
      <c r="B2091" t="s">
        <v>65</v>
      </c>
      <c r="C2091" t="s">
        <v>65</v>
      </c>
      <c r="D2091" t="s">
        <v>33</v>
      </c>
      <c r="E2091" t="s">
        <v>34</v>
      </c>
      <c r="F2091" t="str">
        <f>"0002400"</f>
        <v>0002400</v>
      </c>
      <c r="G2091">
        <v>1</v>
      </c>
      <c r="H2091" t="str">
        <f>"00000000"</f>
        <v>00000000</v>
      </c>
      <c r="I2091" t="s">
        <v>35</v>
      </c>
      <c r="J2091"/>
      <c r="K2091">
        <v>7.64</v>
      </c>
      <c r="L2091">
        <v>0.0</v>
      </c>
      <c r="M2091"/>
      <c r="N2091"/>
      <c r="O2091">
        <v>1.38</v>
      </c>
      <c r="P2091">
        <v>0.2</v>
      </c>
      <c r="Q2091">
        <v>9.22</v>
      </c>
      <c r="R2091"/>
      <c r="S2091"/>
      <c r="T2091"/>
      <c r="U2091"/>
      <c r="V2091"/>
      <c r="W2091">
        <v>18</v>
      </c>
    </row>
    <row r="2092" spans="1:23">
      <c r="A2092"/>
      <c r="B2092" t="s">
        <v>65</v>
      </c>
      <c r="C2092" t="s">
        <v>65</v>
      </c>
      <c r="D2092" t="s">
        <v>33</v>
      </c>
      <c r="E2092" t="s">
        <v>34</v>
      </c>
      <c r="F2092" t="str">
        <f>"0002401"</f>
        <v>0002401</v>
      </c>
      <c r="G2092">
        <v>1</v>
      </c>
      <c r="H2092" t="str">
        <f>"00000000"</f>
        <v>00000000</v>
      </c>
      <c r="I2092" t="s">
        <v>35</v>
      </c>
      <c r="J2092"/>
      <c r="K2092">
        <v>30.58</v>
      </c>
      <c r="L2092">
        <v>0.0</v>
      </c>
      <c r="M2092"/>
      <c r="N2092"/>
      <c r="O2092">
        <v>5.51</v>
      </c>
      <c r="P2092">
        <v>0.2</v>
      </c>
      <c r="Q2092">
        <v>36.29</v>
      </c>
      <c r="R2092"/>
      <c r="S2092"/>
      <c r="T2092"/>
      <c r="U2092"/>
      <c r="V2092"/>
      <c r="W2092">
        <v>18</v>
      </c>
    </row>
    <row r="2093" spans="1:23">
      <c r="A2093"/>
      <c r="B2093" t="s">
        <v>65</v>
      </c>
      <c r="C2093" t="s">
        <v>65</v>
      </c>
      <c r="D2093" t="s">
        <v>33</v>
      </c>
      <c r="E2093" t="s">
        <v>34</v>
      </c>
      <c r="F2093" t="str">
        <f>"0002402"</f>
        <v>0002402</v>
      </c>
      <c r="G2093">
        <v>1</v>
      </c>
      <c r="H2093" t="str">
        <f>"00000000"</f>
        <v>00000000</v>
      </c>
      <c r="I2093" t="s">
        <v>35</v>
      </c>
      <c r="J2093"/>
      <c r="K2093">
        <v>1.02</v>
      </c>
      <c r="L2093">
        <v>0.0</v>
      </c>
      <c r="M2093"/>
      <c r="N2093"/>
      <c r="O2093">
        <v>0.18</v>
      </c>
      <c r="P2093">
        <v>0.0</v>
      </c>
      <c r="Q2093">
        <v>1.2</v>
      </c>
      <c r="R2093"/>
      <c r="S2093"/>
      <c r="T2093"/>
      <c r="U2093"/>
      <c r="V2093"/>
      <c r="W2093">
        <v>18</v>
      </c>
    </row>
    <row r="2094" spans="1:23">
      <c r="A2094"/>
      <c r="B2094" t="s">
        <v>65</v>
      </c>
      <c r="C2094" t="s">
        <v>65</v>
      </c>
      <c r="D2094" t="s">
        <v>33</v>
      </c>
      <c r="E2094" t="s">
        <v>34</v>
      </c>
      <c r="F2094" t="str">
        <f>"0002403"</f>
        <v>0002403</v>
      </c>
      <c r="G2094">
        <v>1</v>
      </c>
      <c r="H2094" t="str">
        <f>"00000000"</f>
        <v>00000000</v>
      </c>
      <c r="I2094" t="s">
        <v>35</v>
      </c>
      <c r="J2094"/>
      <c r="K2094">
        <v>11.44</v>
      </c>
      <c r="L2094">
        <v>0.0</v>
      </c>
      <c r="M2094"/>
      <c r="N2094"/>
      <c r="O2094">
        <v>2.06</v>
      </c>
      <c r="P2094">
        <v>0.0</v>
      </c>
      <c r="Q2094">
        <v>13.5</v>
      </c>
      <c r="R2094"/>
      <c r="S2094"/>
      <c r="T2094"/>
      <c r="U2094"/>
      <c r="V2094"/>
      <c r="W2094">
        <v>18</v>
      </c>
    </row>
    <row r="2095" spans="1:23">
      <c r="A2095"/>
      <c r="B2095" t="s">
        <v>65</v>
      </c>
      <c r="C2095" t="s">
        <v>65</v>
      </c>
      <c r="D2095" t="s">
        <v>33</v>
      </c>
      <c r="E2095" t="s">
        <v>34</v>
      </c>
      <c r="F2095" t="str">
        <f>"0002404"</f>
        <v>0002404</v>
      </c>
      <c r="G2095">
        <v>1</v>
      </c>
      <c r="H2095" t="str">
        <f>"00000000"</f>
        <v>00000000</v>
      </c>
      <c r="I2095" t="s">
        <v>35</v>
      </c>
      <c r="J2095"/>
      <c r="K2095">
        <v>3.78</v>
      </c>
      <c r="L2095">
        <v>0.0</v>
      </c>
      <c r="M2095"/>
      <c r="N2095"/>
      <c r="O2095">
        <v>0.68</v>
      </c>
      <c r="P2095">
        <v>0.0</v>
      </c>
      <c r="Q2095">
        <v>4.46</v>
      </c>
      <c r="R2095"/>
      <c r="S2095"/>
      <c r="T2095"/>
      <c r="U2095"/>
      <c r="V2095"/>
      <c r="W2095">
        <v>18</v>
      </c>
    </row>
    <row r="2096" spans="1:23">
      <c r="A2096"/>
      <c r="B2096" t="s">
        <v>65</v>
      </c>
      <c r="C2096" t="s">
        <v>65</v>
      </c>
      <c r="D2096" t="s">
        <v>33</v>
      </c>
      <c r="E2096" t="s">
        <v>34</v>
      </c>
      <c r="F2096" t="str">
        <f>"0002405"</f>
        <v>0002405</v>
      </c>
      <c r="G2096">
        <v>1</v>
      </c>
      <c r="H2096" t="str">
        <f>"00000000"</f>
        <v>00000000</v>
      </c>
      <c r="I2096" t="s">
        <v>35</v>
      </c>
      <c r="J2096"/>
      <c r="K2096">
        <v>5.08</v>
      </c>
      <c r="L2096">
        <v>0.0</v>
      </c>
      <c r="M2096"/>
      <c r="N2096"/>
      <c r="O2096">
        <v>0.92</v>
      </c>
      <c r="P2096">
        <v>0.0</v>
      </c>
      <c r="Q2096">
        <v>6.0</v>
      </c>
      <c r="R2096"/>
      <c r="S2096"/>
      <c r="T2096"/>
      <c r="U2096"/>
      <c r="V2096"/>
      <c r="W2096">
        <v>18</v>
      </c>
    </row>
    <row r="2097" spans="1:23">
      <c r="A2097"/>
      <c r="B2097" t="s">
        <v>65</v>
      </c>
      <c r="C2097" t="s">
        <v>65</v>
      </c>
      <c r="D2097" t="s">
        <v>33</v>
      </c>
      <c r="E2097" t="s">
        <v>34</v>
      </c>
      <c r="F2097" t="str">
        <f>"0002406"</f>
        <v>0002406</v>
      </c>
      <c r="G2097">
        <v>1</v>
      </c>
      <c r="H2097" t="str">
        <f>"00000000"</f>
        <v>00000000</v>
      </c>
      <c r="I2097" t="s">
        <v>35</v>
      </c>
      <c r="J2097"/>
      <c r="K2097">
        <v>2.12</v>
      </c>
      <c r="L2097">
        <v>0.0</v>
      </c>
      <c r="M2097"/>
      <c r="N2097"/>
      <c r="O2097">
        <v>0.38</v>
      </c>
      <c r="P2097">
        <v>0.0</v>
      </c>
      <c r="Q2097">
        <v>2.5</v>
      </c>
      <c r="R2097"/>
      <c r="S2097"/>
      <c r="T2097"/>
      <c r="U2097"/>
      <c r="V2097"/>
      <c r="W2097">
        <v>18</v>
      </c>
    </row>
    <row r="2098" spans="1:23">
      <c r="A2098"/>
      <c r="B2098" t="s">
        <v>65</v>
      </c>
      <c r="C2098" t="s">
        <v>65</v>
      </c>
      <c r="D2098" t="s">
        <v>33</v>
      </c>
      <c r="E2098" t="s">
        <v>34</v>
      </c>
      <c r="F2098" t="str">
        <f>"0002407"</f>
        <v>0002407</v>
      </c>
      <c r="G2098">
        <v>1</v>
      </c>
      <c r="H2098" t="str">
        <f>"00000000"</f>
        <v>00000000</v>
      </c>
      <c r="I2098" t="s">
        <v>35</v>
      </c>
      <c r="J2098"/>
      <c r="K2098">
        <v>0.29</v>
      </c>
      <c r="L2098">
        <v>0.0</v>
      </c>
      <c r="M2098"/>
      <c r="N2098"/>
      <c r="O2098">
        <v>0.05</v>
      </c>
      <c r="P2098">
        <v>0.0</v>
      </c>
      <c r="Q2098">
        <v>0.34</v>
      </c>
      <c r="R2098"/>
      <c r="S2098"/>
      <c r="T2098"/>
      <c r="U2098"/>
      <c r="V2098"/>
      <c r="W2098">
        <v>18</v>
      </c>
    </row>
    <row r="2099" spans="1:23">
      <c r="A2099"/>
      <c r="B2099" t="s">
        <v>65</v>
      </c>
      <c r="C2099" t="s">
        <v>65</v>
      </c>
      <c r="D2099" t="s">
        <v>33</v>
      </c>
      <c r="E2099" t="s">
        <v>34</v>
      </c>
      <c r="F2099" t="str">
        <f>"0002408"</f>
        <v>0002408</v>
      </c>
      <c r="G2099">
        <v>1</v>
      </c>
      <c r="H2099" t="str">
        <f>"00000000"</f>
        <v>00000000</v>
      </c>
      <c r="I2099" t="s">
        <v>35</v>
      </c>
      <c r="J2099"/>
      <c r="K2099">
        <v>15.51</v>
      </c>
      <c r="L2099">
        <v>0.0</v>
      </c>
      <c r="M2099"/>
      <c r="N2099"/>
      <c r="O2099">
        <v>2.79</v>
      </c>
      <c r="P2099">
        <v>0.0</v>
      </c>
      <c r="Q2099">
        <v>18.3</v>
      </c>
      <c r="R2099"/>
      <c r="S2099"/>
      <c r="T2099"/>
      <c r="U2099"/>
      <c r="V2099"/>
      <c r="W2099">
        <v>18</v>
      </c>
    </row>
    <row r="2100" spans="1:23">
      <c r="A2100"/>
      <c r="B2100" t="s">
        <v>65</v>
      </c>
      <c r="C2100" t="s">
        <v>65</v>
      </c>
      <c r="D2100" t="s">
        <v>33</v>
      </c>
      <c r="E2100" t="s">
        <v>34</v>
      </c>
      <c r="F2100" t="str">
        <f>"0002409"</f>
        <v>0002409</v>
      </c>
      <c r="G2100">
        <v>1</v>
      </c>
      <c r="H2100" t="str">
        <f>"00000000"</f>
        <v>00000000</v>
      </c>
      <c r="I2100" t="s">
        <v>35</v>
      </c>
      <c r="J2100"/>
      <c r="K2100">
        <v>13.14</v>
      </c>
      <c r="L2100">
        <v>0.0</v>
      </c>
      <c r="M2100"/>
      <c r="N2100"/>
      <c r="O2100">
        <v>2.36</v>
      </c>
      <c r="P2100">
        <v>0.0</v>
      </c>
      <c r="Q2100">
        <v>15.5</v>
      </c>
      <c r="R2100"/>
      <c r="S2100"/>
      <c r="T2100"/>
      <c r="U2100"/>
      <c r="V2100"/>
      <c r="W2100">
        <v>18</v>
      </c>
    </row>
    <row r="2101" spans="1:23">
      <c r="A2101"/>
      <c r="B2101" t="s">
        <v>65</v>
      </c>
      <c r="C2101" t="s">
        <v>65</v>
      </c>
      <c r="D2101" t="s">
        <v>33</v>
      </c>
      <c r="E2101" t="s">
        <v>34</v>
      </c>
      <c r="F2101" t="str">
        <f>"0002410"</f>
        <v>0002410</v>
      </c>
      <c r="G2101">
        <v>1</v>
      </c>
      <c r="H2101" t="str">
        <f>"00000000"</f>
        <v>00000000</v>
      </c>
      <c r="I2101" t="s">
        <v>35</v>
      </c>
      <c r="J2101"/>
      <c r="K2101">
        <v>8.39</v>
      </c>
      <c r="L2101">
        <v>0.0</v>
      </c>
      <c r="M2101"/>
      <c r="N2101"/>
      <c r="O2101">
        <v>1.51</v>
      </c>
      <c r="P2101">
        <v>0.0</v>
      </c>
      <c r="Q2101">
        <v>9.9</v>
      </c>
      <c r="R2101"/>
      <c r="S2101"/>
      <c r="T2101"/>
      <c r="U2101"/>
      <c r="V2101"/>
      <c r="W2101">
        <v>18</v>
      </c>
    </row>
    <row r="2102" spans="1:23">
      <c r="A2102"/>
      <c r="B2102" t="s">
        <v>65</v>
      </c>
      <c r="C2102" t="s">
        <v>65</v>
      </c>
      <c r="D2102" t="s">
        <v>33</v>
      </c>
      <c r="E2102" t="s">
        <v>34</v>
      </c>
      <c r="F2102" t="str">
        <f>"0002411"</f>
        <v>0002411</v>
      </c>
      <c r="G2102">
        <v>1</v>
      </c>
      <c r="H2102" t="str">
        <f>"00000000"</f>
        <v>00000000</v>
      </c>
      <c r="I2102" t="s">
        <v>35</v>
      </c>
      <c r="J2102"/>
      <c r="K2102">
        <v>15.25</v>
      </c>
      <c r="L2102">
        <v>0.0</v>
      </c>
      <c r="M2102"/>
      <c r="N2102"/>
      <c r="O2102">
        <v>2.75</v>
      </c>
      <c r="P2102">
        <v>0.0</v>
      </c>
      <c r="Q2102">
        <v>18.0</v>
      </c>
      <c r="R2102"/>
      <c r="S2102"/>
      <c r="T2102"/>
      <c r="U2102"/>
      <c r="V2102"/>
      <c r="W2102">
        <v>18</v>
      </c>
    </row>
    <row r="2103" spans="1:23">
      <c r="A2103"/>
      <c r="B2103" t="s">
        <v>65</v>
      </c>
      <c r="C2103" t="s">
        <v>65</v>
      </c>
      <c r="D2103" t="s">
        <v>33</v>
      </c>
      <c r="E2103" t="s">
        <v>34</v>
      </c>
      <c r="F2103" t="str">
        <f>"0002412"</f>
        <v>0002412</v>
      </c>
      <c r="G2103">
        <v>1</v>
      </c>
      <c r="H2103" t="str">
        <f>"00000000"</f>
        <v>00000000</v>
      </c>
      <c r="I2103" t="s">
        <v>35</v>
      </c>
      <c r="J2103"/>
      <c r="K2103">
        <v>2.38</v>
      </c>
      <c r="L2103">
        <v>0.0</v>
      </c>
      <c r="M2103"/>
      <c r="N2103"/>
      <c r="O2103">
        <v>0.43</v>
      </c>
      <c r="P2103">
        <v>0.0</v>
      </c>
      <c r="Q2103">
        <v>2.81</v>
      </c>
      <c r="R2103"/>
      <c r="S2103"/>
      <c r="T2103"/>
      <c r="U2103"/>
      <c r="V2103"/>
      <c r="W2103">
        <v>18</v>
      </c>
    </row>
    <row r="2104" spans="1:23">
      <c r="A2104"/>
      <c r="B2104" t="s">
        <v>65</v>
      </c>
      <c r="C2104" t="s">
        <v>65</v>
      </c>
      <c r="D2104" t="s">
        <v>33</v>
      </c>
      <c r="E2104" t="s">
        <v>34</v>
      </c>
      <c r="F2104" t="str">
        <f>"0002413"</f>
        <v>0002413</v>
      </c>
      <c r="G2104">
        <v>1</v>
      </c>
      <c r="H2104" t="str">
        <f>"00000000"</f>
        <v>00000000</v>
      </c>
      <c r="I2104" t="s">
        <v>35</v>
      </c>
      <c r="J2104"/>
      <c r="K2104">
        <v>0.02</v>
      </c>
      <c r="L2104">
        <v>0.0</v>
      </c>
      <c r="M2104"/>
      <c r="N2104"/>
      <c r="O2104">
        <v>0.0</v>
      </c>
      <c r="P2104">
        <v>0.2</v>
      </c>
      <c r="Q2104">
        <v>0.22</v>
      </c>
      <c r="R2104"/>
      <c r="S2104"/>
      <c r="T2104"/>
      <c r="U2104"/>
      <c r="V2104"/>
      <c r="W2104">
        <v>18</v>
      </c>
    </row>
    <row r="2105" spans="1:23">
      <c r="A2105"/>
      <c r="B2105" t="s">
        <v>65</v>
      </c>
      <c r="C2105" t="s">
        <v>65</v>
      </c>
      <c r="D2105" t="s">
        <v>33</v>
      </c>
      <c r="E2105" t="s">
        <v>34</v>
      </c>
      <c r="F2105" t="str">
        <f>"0002414"</f>
        <v>0002414</v>
      </c>
      <c r="G2105">
        <v>1</v>
      </c>
      <c r="H2105" t="str">
        <f>"00000000"</f>
        <v>00000000</v>
      </c>
      <c r="I2105" t="s">
        <v>35</v>
      </c>
      <c r="J2105"/>
      <c r="K2105">
        <v>33.9</v>
      </c>
      <c r="L2105">
        <v>0.0</v>
      </c>
      <c r="M2105"/>
      <c r="N2105"/>
      <c r="O2105">
        <v>6.1</v>
      </c>
      <c r="P2105">
        <v>0.0</v>
      </c>
      <c r="Q2105">
        <v>40.0</v>
      </c>
      <c r="R2105"/>
      <c r="S2105"/>
      <c r="T2105"/>
      <c r="U2105"/>
      <c r="V2105"/>
      <c r="W2105">
        <v>18</v>
      </c>
    </row>
    <row r="2106" spans="1:23">
      <c r="A2106"/>
      <c r="B2106" t="s">
        <v>65</v>
      </c>
      <c r="C2106" t="s">
        <v>65</v>
      </c>
      <c r="D2106" t="s">
        <v>33</v>
      </c>
      <c r="E2106" t="s">
        <v>34</v>
      </c>
      <c r="F2106" t="str">
        <f>"0002415"</f>
        <v>0002415</v>
      </c>
      <c r="G2106">
        <v>1</v>
      </c>
      <c r="H2106" t="str">
        <f>"00000000"</f>
        <v>00000000</v>
      </c>
      <c r="I2106" t="s">
        <v>35</v>
      </c>
      <c r="J2106"/>
      <c r="K2106">
        <v>4.37</v>
      </c>
      <c r="L2106">
        <v>0.0</v>
      </c>
      <c r="M2106"/>
      <c r="N2106"/>
      <c r="O2106">
        <v>0.79</v>
      </c>
      <c r="P2106">
        <v>0.2</v>
      </c>
      <c r="Q2106">
        <v>5.36</v>
      </c>
      <c r="R2106"/>
      <c r="S2106"/>
      <c r="T2106"/>
      <c r="U2106"/>
      <c r="V2106"/>
      <c r="W2106">
        <v>18</v>
      </c>
    </row>
    <row r="2107" spans="1:23">
      <c r="A2107"/>
      <c r="B2107" t="s">
        <v>65</v>
      </c>
      <c r="C2107" t="s">
        <v>65</v>
      </c>
      <c r="D2107" t="s">
        <v>33</v>
      </c>
      <c r="E2107" t="s">
        <v>34</v>
      </c>
      <c r="F2107" t="str">
        <f>"0002416"</f>
        <v>0002416</v>
      </c>
      <c r="G2107">
        <v>1</v>
      </c>
      <c r="H2107" t="str">
        <f>"00000000"</f>
        <v>00000000</v>
      </c>
      <c r="I2107" t="s">
        <v>35</v>
      </c>
      <c r="J2107"/>
      <c r="K2107">
        <v>12.63</v>
      </c>
      <c r="L2107">
        <v>0.0</v>
      </c>
      <c r="M2107"/>
      <c r="N2107"/>
      <c r="O2107">
        <v>2.27</v>
      </c>
      <c r="P2107">
        <v>0.0</v>
      </c>
      <c r="Q2107">
        <v>14.9</v>
      </c>
      <c r="R2107"/>
      <c r="S2107"/>
      <c r="T2107"/>
      <c r="U2107"/>
      <c r="V2107"/>
      <c r="W2107">
        <v>18</v>
      </c>
    </row>
    <row r="2108" spans="1:23">
      <c r="A2108"/>
      <c r="B2108" t="s">
        <v>65</v>
      </c>
      <c r="C2108" t="s">
        <v>65</v>
      </c>
      <c r="D2108" t="s">
        <v>33</v>
      </c>
      <c r="E2108" t="s">
        <v>34</v>
      </c>
      <c r="F2108" t="str">
        <f>"0002417"</f>
        <v>0002417</v>
      </c>
      <c r="G2108">
        <v>1</v>
      </c>
      <c r="H2108" t="str">
        <f>"00000000"</f>
        <v>00000000</v>
      </c>
      <c r="I2108" t="s">
        <v>35</v>
      </c>
      <c r="J2108"/>
      <c r="K2108">
        <v>0.02</v>
      </c>
      <c r="L2108">
        <v>0.0</v>
      </c>
      <c r="M2108"/>
      <c r="N2108"/>
      <c r="O2108">
        <v>0.0</v>
      </c>
      <c r="P2108">
        <v>0.2</v>
      </c>
      <c r="Q2108">
        <v>0.22</v>
      </c>
      <c r="R2108"/>
      <c r="S2108"/>
      <c r="T2108"/>
      <c r="U2108"/>
      <c r="V2108"/>
      <c r="W2108">
        <v>18</v>
      </c>
    </row>
    <row r="2109" spans="1:23">
      <c r="A2109"/>
      <c r="B2109" t="s">
        <v>65</v>
      </c>
      <c r="C2109" t="s">
        <v>65</v>
      </c>
      <c r="D2109" t="s">
        <v>33</v>
      </c>
      <c r="E2109" t="s">
        <v>34</v>
      </c>
      <c r="F2109" t="str">
        <f>"0002418"</f>
        <v>0002418</v>
      </c>
      <c r="G2109">
        <v>1</v>
      </c>
      <c r="H2109" t="str">
        <f>"00000000"</f>
        <v>00000000</v>
      </c>
      <c r="I2109" t="s">
        <v>35</v>
      </c>
      <c r="J2109"/>
      <c r="K2109">
        <v>36.88</v>
      </c>
      <c r="L2109">
        <v>0.0</v>
      </c>
      <c r="M2109"/>
      <c r="N2109"/>
      <c r="O2109">
        <v>6.64</v>
      </c>
      <c r="P2109">
        <v>0.2</v>
      </c>
      <c r="Q2109">
        <v>43.72</v>
      </c>
      <c r="R2109"/>
      <c r="S2109"/>
      <c r="T2109"/>
      <c r="U2109"/>
      <c r="V2109"/>
      <c r="W2109">
        <v>18</v>
      </c>
    </row>
    <row r="2110" spans="1:23">
      <c r="A2110"/>
      <c r="B2110" t="s">
        <v>65</v>
      </c>
      <c r="C2110" t="s">
        <v>65</v>
      </c>
      <c r="D2110" t="s">
        <v>33</v>
      </c>
      <c r="E2110" t="s">
        <v>34</v>
      </c>
      <c r="F2110" t="str">
        <f>"0002419"</f>
        <v>0002419</v>
      </c>
      <c r="G2110">
        <v>1</v>
      </c>
      <c r="H2110" t="str">
        <f>"00000000"</f>
        <v>00000000</v>
      </c>
      <c r="I2110" t="s">
        <v>35</v>
      </c>
      <c r="J2110"/>
      <c r="K2110">
        <v>28.92</v>
      </c>
      <c r="L2110">
        <v>0.0</v>
      </c>
      <c r="M2110"/>
      <c r="N2110"/>
      <c r="O2110">
        <v>5.2</v>
      </c>
      <c r="P2110">
        <v>0.2</v>
      </c>
      <c r="Q2110">
        <v>34.32</v>
      </c>
      <c r="R2110"/>
      <c r="S2110"/>
      <c r="T2110"/>
      <c r="U2110"/>
      <c r="V2110"/>
      <c r="W2110">
        <v>18</v>
      </c>
    </row>
    <row r="2111" spans="1:23">
      <c r="A2111"/>
      <c r="B2111" t="s">
        <v>65</v>
      </c>
      <c r="C2111" t="s">
        <v>65</v>
      </c>
      <c r="D2111" t="s">
        <v>33</v>
      </c>
      <c r="E2111" t="s">
        <v>34</v>
      </c>
      <c r="F2111" t="str">
        <f>"0002420"</f>
        <v>0002420</v>
      </c>
      <c r="G2111">
        <v>1</v>
      </c>
      <c r="H2111" t="str">
        <f>"00000000"</f>
        <v>00000000</v>
      </c>
      <c r="I2111" t="s">
        <v>35</v>
      </c>
      <c r="J2111"/>
      <c r="K2111">
        <v>4.15</v>
      </c>
      <c r="L2111">
        <v>0.0</v>
      </c>
      <c r="M2111"/>
      <c r="N2111"/>
      <c r="O2111">
        <v>0.75</v>
      </c>
      <c r="P2111">
        <v>0.0</v>
      </c>
      <c r="Q2111">
        <v>4.9</v>
      </c>
      <c r="R2111"/>
      <c r="S2111"/>
      <c r="T2111"/>
      <c r="U2111"/>
      <c r="V2111"/>
      <c r="W2111">
        <v>18</v>
      </c>
    </row>
    <row r="2112" spans="1:23">
      <c r="A2112"/>
      <c r="B2112" t="s">
        <v>65</v>
      </c>
      <c r="C2112" t="s">
        <v>65</v>
      </c>
      <c r="D2112" t="s">
        <v>33</v>
      </c>
      <c r="E2112" t="s">
        <v>34</v>
      </c>
      <c r="F2112" t="str">
        <f>"0002421"</f>
        <v>0002421</v>
      </c>
      <c r="G2112">
        <v>1</v>
      </c>
      <c r="H2112" t="str">
        <f>"00000000"</f>
        <v>00000000</v>
      </c>
      <c r="I2112" t="s">
        <v>35</v>
      </c>
      <c r="J2112"/>
      <c r="K2112">
        <v>28.49</v>
      </c>
      <c r="L2112">
        <v>0.0</v>
      </c>
      <c r="M2112"/>
      <c r="N2112"/>
      <c r="O2112">
        <v>5.13</v>
      </c>
      <c r="P2112">
        <v>0.2</v>
      </c>
      <c r="Q2112">
        <v>33.82</v>
      </c>
      <c r="R2112"/>
      <c r="S2112"/>
      <c r="T2112"/>
      <c r="U2112"/>
      <c r="V2112"/>
      <c r="W2112">
        <v>18</v>
      </c>
    </row>
    <row r="2113" spans="1:23">
      <c r="A2113"/>
      <c r="B2113" t="s">
        <v>65</v>
      </c>
      <c r="C2113" t="s">
        <v>65</v>
      </c>
      <c r="D2113" t="s">
        <v>33</v>
      </c>
      <c r="E2113" t="s">
        <v>34</v>
      </c>
      <c r="F2113" t="str">
        <f>"0002422"</f>
        <v>0002422</v>
      </c>
      <c r="G2113">
        <v>1</v>
      </c>
      <c r="H2113" t="str">
        <f>"00000000"</f>
        <v>00000000</v>
      </c>
      <c r="I2113" t="s">
        <v>35</v>
      </c>
      <c r="J2113"/>
      <c r="K2113">
        <v>48.81</v>
      </c>
      <c r="L2113">
        <v>0.0</v>
      </c>
      <c r="M2113"/>
      <c r="N2113"/>
      <c r="O2113">
        <v>8.79</v>
      </c>
      <c r="P2113">
        <v>0.0</v>
      </c>
      <c r="Q2113">
        <v>57.59</v>
      </c>
      <c r="R2113"/>
      <c r="S2113"/>
      <c r="T2113"/>
      <c r="U2113"/>
      <c r="V2113"/>
      <c r="W2113">
        <v>18</v>
      </c>
    </row>
    <row r="2114" spans="1:23">
      <c r="A2114"/>
      <c r="B2114" t="s">
        <v>65</v>
      </c>
      <c r="C2114" t="s">
        <v>65</v>
      </c>
      <c r="D2114" t="s">
        <v>33</v>
      </c>
      <c r="E2114" t="s">
        <v>34</v>
      </c>
      <c r="F2114" t="str">
        <f>"0002423"</f>
        <v>0002423</v>
      </c>
      <c r="G2114">
        <v>1</v>
      </c>
      <c r="H2114" t="str">
        <f>"00000000"</f>
        <v>00000000</v>
      </c>
      <c r="I2114" t="s">
        <v>35</v>
      </c>
      <c r="J2114"/>
      <c r="K2114">
        <v>11.46</v>
      </c>
      <c r="L2114">
        <v>0.0</v>
      </c>
      <c r="M2114"/>
      <c r="N2114"/>
      <c r="O2114">
        <v>2.06</v>
      </c>
      <c r="P2114">
        <v>0.0</v>
      </c>
      <c r="Q2114">
        <v>13.52</v>
      </c>
      <c r="R2114"/>
      <c r="S2114"/>
      <c r="T2114"/>
      <c r="U2114"/>
      <c r="V2114"/>
      <c r="W2114">
        <v>18</v>
      </c>
    </row>
    <row r="2115" spans="1:23">
      <c r="A2115"/>
      <c r="B2115" t="s">
        <v>65</v>
      </c>
      <c r="C2115" t="s">
        <v>65</v>
      </c>
      <c r="D2115" t="s">
        <v>33</v>
      </c>
      <c r="E2115" t="s">
        <v>34</v>
      </c>
      <c r="F2115" t="str">
        <f>"0002424"</f>
        <v>0002424</v>
      </c>
      <c r="G2115">
        <v>1</v>
      </c>
      <c r="H2115" t="str">
        <f>"00000000"</f>
        <v>00000000</v>
      </c>
      <c r="I2115" t="s">
        <v>35</v>
      </c>
      <c r="J2115"/>
      <c r="K2115">
        <v>5.76</v>
      </c>
      <c r="L2115">
        <v>0.0</v>
      </c>
      <c r="M2115"/>
      <c r="N2115"/>
      <c r="O2115">
        <v>1.04</v>
      </c>
      <c r="P2115">
        <v>0.0</v>
      </c>
      <c r="Q2115">
        <v>6.8</v>
      </c>
      <c r="R2115"/>
      <c r="S2115"/>
      <c r="T2115"/>
      <c r="U2115"/>
      <c r="V2115"/>
      <c r="W2115">
        <v>18</v>
      </c>
    </row>
    <row r="2116" spans="1:23">
      <c r="A2116"/>
      <c r="B2116" t="s">
        <v>65</v>
      </c>
      <c r="C2116" t="s">
        <v>65</v>
      </c>
      <c r="D2116" t="s">
        <v>33</v>
      </c>
      <c r="E2116" t="s">
        <v>34</v>
      </c>
      <c r="F2116" t="str">
        <f>"0002425"</f>
        <v>0002425</v>
      </c>
      <c r="G2116">
        <v>1</v>
      </c>
      <c r="H2116" t="str">
        <f>"00000000"</f>
        <v>00000000</v>
      </c>
      <c r="I2116" t="s">
        <v>35</v>
      </c>
      <c r="J2116"/>
      <c r="K2116">
        <v>8.69</v>
      </c>
      <c r="L2116">
        <v>0.0</v>
      </c>
      <c r="M2116"/>
      <c r="N2116"/>
      <c r="O2116">
        <v>1.56</v>
      </c>
      <c r="P2116">
        <v>0.0</v>
      </c>
      <c r="Q2116">
        <v>10.26</v>
      </c>
      <c r="R2116"/>
      <c r="S2116"/>
      <c r="T2116"/>
      <c r="U2116"/>
      <c r="V2116"/>
      <c r="W2116">
        <v>18</v>
      </c>
    </row>
    <row r="2117" spans="1:23">
      <c r="A2117"/>
      <c r="B2117" t="s">
        <v>65</v>
      </c>
      <c r="C2117" t="s">
        <v>65</v>
      </c>
      <c r="D2117" t="s">
        <v>33</v>
      </c>
      <c r="E2117" t="s">
        <v>34</v>
      </c>
      <c r="F2117" t="str">
        <f>"0002426"</f>
        <v>0002426</v>
      </c>
      <c r="G2117">
        <v>1</v>
      </c>
      <c r="H2117" t="str">
        <f>"00000000"</f>
        <v>00000000</v>
      </c>
      <c r="I2117" t="s">
        <v>35</v>
      </c>
      <c r="J2117"/>
      <c r="K2117">
        <v>25.1</v>
      </c>
      <c r="L2117">
        <v>0.0</v>
      </c>
      <c r="M2117"/>
      <c r="N2117"/>
      <c r="O2117">
        <v>4.52</v>
      </c>
      <c r="P2117">
        <v>0.2</v>
      </c>
      <c r="Q2117">
        <v>29.82</v>
      </c>
      <c r="R2117"/>
      <c r="S2117"/>
      <c r="T2117"/>
      <c r="U2117"/>
      <c r="V2117"/>
      <c r="W2117">
        <v>18</v>
      </c>
    </row>
    <row r="2118" spans="1:23">
      <c r="A2118"/>
      <c r="B2118" t="s">
        <v>65</v>
      </c>
      <c r="C2118" t="s">
        <v>65</v>
      </c>
      <c r="D2118" t="s">
        <v>33</v>
      </c>
      <c r="E2118" t="s">
        <v>34</v>
      </c>
      <c r="F2118" t="str">
        <f>"0002427"</f>
        <v>0002427</v>
      </c>
      <c r="G2118">
        <v>1</v>
      </c>
      <c r="H2118" t="str">
        <f>"00000000"</f>
        <v>00000000</v>
      </c>
      <c r="I2118" t="s">
        <v>35</v>
      </c>
      <c r="J2118"/>
      <c r="K2118">
        <v>25.16</v>
      </c>
      <c r="L2118">
        <v>0.0</v>
      </c>
      <c r="M2118"/>
      <c r="N2118"/>
      <c r="O2118">
        <v>4.53</v>
      </c>
      <c r="P2118">
        <v>0.2</v>
      </c>
      <c r="Q2118">
        <v>29.88</v>
      </c>
      <c r="R2118"/>
      <c r="S2118"/>
      <c r="T2118"/>
      <c r="U2118"/>
      <c r="V2118"/>
      <c r="W2118">
        <v>18</v>
      </c>
    </row>
    <row r="2119" spans="1:23">
      <c r="A2119"/>
      <c r="B2119" t="s">
        <v>65</v>
      </c>
      <c r="C2119" t="s">
        <v>65</v>
      </c>
      <c r="D2119" t="s">
        <v>33</v>
      </c>
      <c r="E2119" t="s">
        <v>34</v>
      </c>
      <c r="F2119" t="str">
        <f>"0002428"</f>
        <v>0002428</v>
      </c>
      <c r="G2119">
        <v>1</v>
      </c>
      <c r="H2119" t="str">
        <f>"00000000"</f>
        <v>00000000</v>
      </c>
      <c r="I2119" t="s">
        <v>35</v>
      </c>
      <c r="J2119"/>
      <c r="K2119">
        <v>44.76</v>
      </c>
      <c r="L2119">
        <v>0.0</v>
      </c>
      <c r="M2119"/>
      <c r="N2119"/>
      <c r="O2119">
        <v>8.06</v>
      </c>
      <c r="P2119">
        <v>0.2</v>
      </c>
      <c r="Q2119">
        <v>53.02</v>
      </c>
      <c r="R2119"/>
      <c r="S2119"/>
      <c r="T2119"/>
      <c r="U2119"/>
      <c r="V2119"/>
      <c r="W2119">
        <v>18</v>
      </c>
    </row>
    <row r="2120" spans="1:23">
      <c r="A2120"/>
      <c r="B2120" t="s">
        <v>65</v>
      </c>
      <c r="C2120" t="s">
        <v>65</v>
      </c>
      <c r="D2120" t="s">
        <v>33</v>
      </c>
      <c r="E2120" t="s">
        <v>34</v>
      </c>
      <c r="F2120" t="str">
        <f>"0002429"</f>
        <v>0002429</v>
      </c>
      <c r="G2120">
        <v>1</v>
      </c>
      <c r="H2120" t="str">
        <f>"00000000"</f>
        <v>00000000</v>
      </c>
      <c r="I2120" t="s">
        <v>35</v>
      </c>
      <c r="J2120"/>
      <c r="K2120">
        <v>2.97</v>
      </c>
      <c r="L2120">
        <v>0.0</v>
      </c>
      <c r="M2120"/>
      <c r="N2120"/>
      <c r="O2120">
        <v>0.53</v>
      </c>
      <c r="P2120">
        <v>0.0</v>
      </c>
      <c r="Q2120">
        <v>3.5</v>
      </c>
      <c r="R2120"/>
      <c r="S2120"/>
      <c r="T2120"/>
      <c r="U2120"/>
      <c r="V2120"/>
      <c r="W2120">
        <v>18</v>
      </c>
    </row>
    <row r="2121" spans="1:23">
      <c r="A2121"/>
      <c r="B2121" t="s">
        <v>65</v>
      </c>
      <c r="C2121" t="s">
        <v>65</v>
      </c>
      <c r="D2121" t="s">
        <v>33</v>
      </c>
      <c r="E2121" t="s">
        <v>34</v>
      </c>
      <c r="F2121" t="str">
        <f>"0002430"</f>
        <v>0002430</v>
      </c>
      <c r="G2121">
        <v>1</v>
      </c>
      <c r="H2121" t="str">
        <f>"00000000"</f>
        <v>00000000</v>
      </c>
      <c r="I2121" t="s">
        <v>35</v>
      </c>
      <c r="J2121"/>
      <c r="K2121">
        <v>12.67</v>
      </c>
      <c r="L2121">
        <v>0.0</v>
      </c>
      <c r="M2121"/>
      <c r="N2121"/>
      <c r="O2121">
        <v>2.28</v>
      </c>
      <c r="P2121">
        <v>0.0</v>
      </c>
      <c r="Q2121">
        <v>14.95</v>
      </c>
      <c r="R2121"/>
      <c r="S2121"/>
      <c r="T2121"/>
      <c r="U2121"/>
      <c r="V2121"/>
      <c r="W2121">
        <v>18</v>
      </c>
    </row>
    <row r="2122" spans="1:23">
      <c r="A2122"/>
      <c r="B2122" t="s">
        <v>65</v>
      </c>
      <c r="C2122" t="s">
        <v>65</v>
      </c>
      <c r="D2122" t="s">
        <v>33</v>
      </c>
      <c r="E2122" t="s">
        <v>34</v>
      </c>
      <c r="F2122" t="str">
        <f>"0002431"</f>
        <v>0002431</v>
      </c>
      <c r="G2122">
        <v>1</v>
      </c>
      <c r="H2122" t="str">
        <f>"00000000"</f>
        <v>00000000</v>
      </c>
      <c r="I2122" t="s">
        <v>35</v>
      </c>
      <c r="J2122"/>
      <c r="K2122">
        <v>18.42</v>
      </c>
      <c r="L2122">
        <v>0.0</v>
      </c>
      <c r="M2122"/>
      <c r="N2122"/>
      <c r="O2122">
        <v>3.32</v>
      </c>
      <c r="P2122">
        <v>0.2</v>
      </c>
      <c r="Q2122">
        <v>21.94</v>
      </c>
      <c r="R2122"/>
      <c r="S2122"/>
      <c r="T2122"/>
      <c r="U2122"/>
      <c r="V2122"/>
      <c r="W2122">
        <v>18</v>
      </c>
    </row>
    <row r="2123" spans="1:23">
      <c r="A2123"/>
      <c r="B2123" t="s">
        <v>65</v>
      </c>
      <c r="C2123" t="s">
        <v>65</v>
      </c>
      <c r="D2123" t="s">
        <v>33</v>
      </c>
      <c r="E2123" t="s">
        <v>34</v>
      </c>
      <c r="F2123" t="str">
        <f>"0002432"</f>
        <v>0002432</v>
      </c>
      <c r="G2123">
        <v>1</v>
      </c>
      <c r="H2123" t="str">
        <f>"00000000"</f>
        <v>00000000</v>
      </c>
      <c r="I2123" t="s">
        <v>35</v>
      </c>
      <c r="J2123"/>
      <c r="K2123">
        <v>4.93</v>
      </c>
      <c r="L2123">
        <v>0.0</v>
      </c>
      <c r="M2123"/>
      <c r="N2123"/>
      <c r="O2123">
        <v>0.89</v>
      </c>
      <c r="P2123">
        <v>0.2</v>
      </c>
      <c r="Q2123">
        <v>6.02</v>
      </c>
      <c r="R2123"/>
      <c r="S2123"/>
      <c r="T2123"/>
      <c r="U2123"/>
      <c r="V2123"/>
      <c r="W2123">
        <v>18</v>
      </c>
    </row>
    <row r="2124" spans="1:23">
      <c r="A2124"/>
      <c r="B2124" t="s">
        <v>65</v>
      </c>
      <c r="C2124" t="s">
        <v>65</v>
      </c>
      <c r="D2124" t="s">
        <v>33</v>
      </c>
      <c r="E2124" t="s">
        <v>34</v>
      </c>
      <c r="F2124" t="str">
        <f>"0002433"</f>
        <v>0002433</v>
      </c>
      <c r="G2124">
        <v>1</v>
      </c>
      <c r="H2124" t="str">
        <f>"00000000"</f>
        <v>00000000</v>
      </c>
      <c r="I2124" t="s">
        <v>35</v>
      </c>
      <c r="J2124"/>
      <c r="K2124">
        <v>17.31</v>
      </c>
      <c r="L2124">
        <v>0.0</v>
      </c>
      <c r="M2124"/>
      <c r="N2124"/>
      <c r="O2124">
        <v>3.11</v>
      </c>
      <c r="P2124">
        <v>0.2</v>
      </c>
      <c r="Q2124">
        <v>20.62</v>
      </c>
      <c r="R2124"/>
      <c r="S2124"/>
      <c r="T2124"/>
      <c r="U2124"/>
      <c r="V2124"/>
      <c r="W2124">
        <v>18</v>
      </c>
    </row>
    <row r="2125" spans="1:23">
      <c r="A2125"/>
      <c r="B2125" t="s">
        <v>65</v>
      </c>
      <c r="C2125" t="s">
        <v>65</v>
      </c>
      <c r="D2125" t="s">
        <v>33</v>
      </c>
      <c r="E2125" t="s">
        <v>34</v>
      </c>
      <c r="F2125" t="str">
        <f>"0002434"</f>
        <v>0002434</v>
      </c>
      <c r="G2125">
        <v>1</v>
      </c>
      <c r="H2125" t="str">
        <f>"00000000"</f>
        <v>00000000</v>
      </c>
      <c r="I2125" t="s">
        <v>35</v>
      </c>
      <c r="J2125"/>
      <c r="K2125">
        <v>6.44</v>
      </c>
      <c r="L2125">
        <v>0.0</v>
      </c>
      <c r="M2125"/>
      <c r="N2125"/>
      <c r="O2125">
        <v>1.16</v>
      </c>
      <c r="P2125">
        <v>0.0</v>
      </c>
      <c r="Q2125">
        <v>7.6</v>
      </c>
      <c r="R2125"/>
      <c r="S2125"/>
      <c r="T2125"/>
      <c r="U2125"/>
      <c r="V2125"/>
      <c r="W2125">
        <v>18</v>
      </c>
    </row>
    <row r="2126" spans="1:23">
      <c r="A2126"/>
      <c r="B2126" t="s">
        <v>65</v>
      </c>
      <c r="C2126" t="s">
        <v>65</v>
      </c>
      <c r="D2126" t="s">
        <v>33</v>
      </c>
      <c r="E2126" t="s">
        <v>34</v>
      </c>
      <c r="F2126" t="str">
        <f>"0002435"</f>
        <v>0002435</v>
      </c>
      <c r="G2126">
        <v>1</v>
      </c>
      <c r="H2126" t="str">
        <f>"00000000"</f>
        <v>00000000</v>
      </c>
      <c r="I2126" t="s">
        <v>35</v>
      </c>
      <c r="J2126"/>
      <c r="K2126">
        <v>9.94</v>
      </c>
      <c r="L2126">
        <v>0.0</v>
      </c>
      <c r="M2126"/>
      <c r="N2126"/>
      <c r="O2126">
        <v>1.79</v>
      </c>
      <c r="P2126">
        <v>0.2</v>
      </c>
      <c r="Q2126">
        <v>11.93</v>
      </c>
      <c r="R2126"/>
      <c r="S2126"/>
      <c r="T2126"/>
      <c r="U2126"/>
      <c r="V2126"/>
      <c r="W2126">
        <v>18</v>
      </c>
    </row>
    <row r="2127" spans="1:23">
      <c r="A2127"/>
      <c r="B2127" t="s">
        <v>65</v>
      </c>
      <c r="C2127" t="s">
        <v>65</v>
      </c>
      <c r="D2127" t="s">
        <v>33</v>
      </c>
      <c r="E2127" t="s">
        <v>34</v>
      </c>
      <c r="F2127" t="str">
        <f>"0002436"</f>
        <v>0002436</v>
      </c>
      <c r="G2127">
        <v>1</v>
      </c>
      <c r="H2127" t="str">
        <f>"00000000"</f>
        <v>00000000</v>
      </c>
      <c r="I2127" t="s">
        <v>35</v>
      </c>
      <c r="J2127"/>
      <c r="K2127">
        <v>4.66</v>
      </c>
      <c r="L2127">
        <v>0.0</v>
      </c>
      <c r="M2127"/>
      <c r="N2127"/>
      <c r="O2127">
        <v>0.84</v>
      </c>
      <c r="P2127">
        <v>0.0</v>
      </c>
      <c r="Q2127">
        <v>5.5</v>
      </c>
      <c r="R2127"/>
      <c r="S2127"/>
      <c r="T2127"/>
      <c r="U2127"/>
      <c r="V2127"/>
      <c r="W2127">
        <v>18</v>
      </c>
    </row>
    <row r="2128" spans="1:23">
      <c r="A2128"/>
      <c r="B2128" t="s">
        <v>65</v>
      </c>
      <c r="C2128" t="s">
        <v>65</v>
      </c>
      <c r="D2128" t="s">
        <v>33</v>
      </c>
      <c r="E2128" t="s">
        <v>34</v>
      </c>
      <c r="F2128" t="str">
        <f>"0002437"</f>
        <v>0002437</v>
      </c>
      <c r="G2128">
        <v>1</v>
      </c>
      <c r="H2128" t="str">
        <f>"00000000"</f>
        <v>00000000</v>
      </c>
      <c r="I2128" t="s">
        <v>35</v>
      </c>
      <c r="J2128"/>
      <c r="K2128">
        <v>3.98</v>
      </c>
      <c r="L2128">
        <v>0.0</v>
      </c>
      <c r="M2128"/>
      <c r="N2128"/>
      <c r="O2128">
        <v>0.72</v>
      </c>
      <c r="P2128">
        <v>0.0</v>
      </c>
      <c r="Q2128">
        <v>4.7</v>
      </c>
      <c r="R2128"/>
      <c r="S2128"/>
      <c r="T2128"/>
      <c r="U2128"/>
      <c r="V2128"/>
      <c r="W2128">
        <v>18</v>
      </c>
    </row>
    <row r="2129" spans="1:23">
      <c r="A2129"/>
      <c r="B2129" t="s">
        <v>65</v>
      </c>
      <c r="C2129" t="s">
        <v>65</v>
      </c>
      <c r="D2129" t="s">
        <v>33</v>
      </c>
      <c r="E2129" t="s">
        <v>34</v>
      </c>
      <c r="F2129" t="str">
        <f>"0002438"</f>
        <v>0002438</v>
      </c>
      <c r="G2129">
        <v>1</v>
      </c>
      <c r="H2129" t="str">
        <f>"00000000"</f>
        <v>00000000</v>
      </c>
      <c r="I2129" t="s">
        <v>35</v>
      </c>
      <c r="J2129"/>
      <c r="K2129">
        <v>93.15</v>
      </c>
      <c r="L2129">
        <v>0.0</v>
      </c>
      <c r="M2129"/>
      <c r="N2129"/>
      <c r="O2129">
        <v>16.77</v>
      </c>
      <c r="P2129">
        <v>0.2</v>
      </c>
      <c r="Q2129">
        <v>110.12</v>
      </c>
      <c r="R2129"/>
      <c r="S2129"/>
      <c r="T2129"/>
      <c r="U2129"/>
      <c r="V2129"/>
      <c r="W2129">
        <v>18</v>
      </c>
    </row>
    <row r="2130" spans="1:23">
      <c r="A2130"/>
      <c r="B2130" t="s">
        <v>65</v>
      </c>
      <c r="C2130" t="s">
        <v>65</v>
      </c>
      <c r="D2130" t="s">
        <v>33</v>
      </c>
      <c r="E2130" t="s">
        <v>34</v>
      </c>
      <c r="F2130" t="str">
        <f>"0002439"</f>
        <v>0002439</v>
      </c>
      <c r="G2130">
        <v>1</v>
      </c>
      <c r="H2130" t="str">
        <f>"00000000"</f>
        <v>00000000</v>
      </c>
      <c r="I2130" t="s">
        <v>35</v>
      </c>
      <c r="J2130"/>
      <c r="K2130">
        <v>3.39</v>
      </c>
      <c r="L2130">
        <v>0.0</v>
      </c>
      <c r="M2130"/>
      <c r="N2130"/>
      <c r="O2130">
        <v>0.61</v>
      </c>
      <c r="P2130">
        <v>0.0</v>
      </c>
      <c r="Q2130">
        <v>4.0</v>
      </c>
      <c r="R2130"/>
      <c r="S2130"/>
      <c r="T2130"/>
      <c r="U2130"/>
      <c r="V2130"/>
      <c r="W2130">
        <v>18</v>
      </c>
    </row>
    <row r="2131" spans="1:23">
      <c r="A2131"/>
      <c r="B2131" t="s">
        <v>65</v>
      </c>
      <c r="C2131" t="s">
        <v>65</v>
      </c>
      <c r="D2131" t="s">
        <v>33</v>
      </c>
      <c r="E2131" t="s">
        <v>34</v>
      </c>
      <c r="F2131" t="str">
        <f>"0002440"</f>
        <v>0002440</v>
      </c>
      <c r="G2131">
        <v>1</v>
      </c>
      <c r="H2131" t="str">
        <f>"00000000"</f>
        <v>00000000</v>
      </c>
      <c r="I2131" t="s">
        <v>35</v>
      </c>
      <c r="J2131"/>
      <c r="K2131">
        <v>51.47</v>
      </c>
      <c r="L2131">
        <v>0.0</v>
      </c>
      <c r="M2131"/>
      <c r="N2131"/>
      <c r="O2131">
        <v>9.27</v>
      </c>
      <c r="P2131">
        <v>0.6</v>
      </c>
      <c r="Q2131">
        <v>61.34</v>
      </c>
      <c r="R2131"/>
      <c r="S2131"/>
      <c r="T2131"/>
      <c r="U2131"/>
      <c r="V2131"/>
      <c r="W2131">
        <v>18</v>
      </c>
    </row>
    <row r="2132" spans="1:23">
      <c r="A2132"/>
      <c r="B2132" t="s">
        <v>65</v>
      </c>
      <c r="C2132" t="s">
        <v>65</v>
      </c>
      <c r="D2132" t="s">
        <v>33</v>
      </c>
      <c r="E2132" t="s">
        <v>34</v>
      </c>
      <c r="F2132" t="str">
        <f>"0002441"</f>
        <v>0002441</v>
      </c>
      <c r="G2132">
        <v>1</v>
      </c>
      <c r="H2132" t="str">
        <f>"00000000"</f>
        <v>00000000</v>
      </c>
      <c r="I2132" t="s">
        <v>35</v>
      </c>
      <c r="J2132"/>
      <c r="K2132">
        <v>11.2</v>
      </c>
      <c r="L2132">
        <v>0.0</v>
      </c>
      <c r="M2132"/>
      <c r="N2132"/>
      <c r="O2132">
        <v>2.02</v>
      </c>
      <c r="P2132">
        <v>0.2</v>
      </c>
      <c r="Q2132">
        <v>13.42</v>
      </c>
      <c r="R2132"/>
      <c r="S2132"/>
      <c r="T2132"/>
      <c r="U2132"/>
      <c r="V2132"/>
      <c r="W2132">
        <v>18</v>
      </c>
    </row>
    <row r="2133" spans="1:23">
      <c r="A2133"/>
      <c r="B2133" t="s">
        <v>65</v>
      </c>
      <c r="C2133" t="s">
        <v>65</v>
      </c>
      <c r="D2133" t="s">
        <v>33</v>
      </c>
      <c r="E2133" t="s">
        <v>34</v>
      </c>
      <c r="F2133" t="str">
        <f>"0002442"</f>
        <v>0002442</v>
      </c>
      <c r="G2133">
        <v>1</v>
      </c>
      <c r="H2133" t="str">
        <f>"00000000"</f>
        <v>00000000</v>
      </c>
      <c r="I2133" t="s">
        <v>35</v>
      </c>
      <c r="J2133"/>
      <c r="K2133">
        <v>9.08</v>
      </c>
      <c r="L2133">
        <v>0.0</v>
      </c>
      <c r="M2133"/>
      <c r="N2133"/>
      <c r="O2133">
        <v>1.64</v>
      </c>
      <c r="P2133">
        <v>0.2</v>
      </c>
      <c r="Q2133">
        <v>10.92</v>
      </c>
      <c r="R2133"/>
      <c r="S2133"/>
      <c r="T2133"/>
      <c r="U2133"/>
      <c r="V2133"/>
      <c r="W2133">
        <v>18</v>
      </c>
    </row>
    <row r="2134" spans="1:23">
      <c r="A2134"/>
      <c r="B2134" t="s">
        <v>65</v>
      </c>
      <c r="C2134" t="s">
        <v>65</v>
      </c>
      <c r="D2134" t="s">
        <v>33</v>
      </c>
      <c r="E2134" t="s">
        <v>34</v>
      </c>
      <c r="F2134" t="str">
        <f>"0002443"</f>
        <v>0002443</v>
      </c>
      <c r="G2134">
        <v>1</v>
      </c>
      <c r="H2134" t="str">
        <f>"00000000"</f>
        <v>00000000</v>
      </c>
      <c r="I2134" t="s">
        <v>35</v>
      </c>
      <c r="J2134"/>
      <c r="K2134">
        <v>15.41</v>
      </c>
      <c r="L2134">
        <v>0.0</v>
      </c>
      <c r="M2134"/>
      <c r="N2134"/>
      <c r="O2134">
        <v>2.77</v>
      </c>
      <c r="P2134">
        <v>0.0</v>
      </c>
      <c r="Q2134">
        <v>18.19</v>
      </c>
      <c r="R2134"/>
      <c r="S2134"/>
      <c r="T2134"/>
      <c r="U2134"/>
      <c r="V2134"/>
      <c r="W2134">
        <v>18</v>
      </c>
    </row>
    <row r="2135" spans="1:23">
      <c r="A2135"/>
      <c r="B2135" t="s">
        <v>65</v>
      </c>
      <c r="C2135" t="s">
        <v>65</v>
      </c>
      <c r="D2135" t="s">
        <v>33</v>
      </c>
      <c r="E2135" t="s">
        <v>34</v>
      </c>
      <c r="F2135" t="str">
        <f>"0002444"</f>
        <v>0002444</v>
      </c>
      <c r="G2135">
        <v>1</v>
      </c>
      <c r="H2135" t="str">
        <f>"00000000"</f>
        <v>00000000</v>
      </c>
      <c r="I2135" t="s">
        <v>35</v>
      </c>
      <c r="J2135"/>
      <c r="K2135">
        <v>6.61</v>
      </c>
      <c r="L2135">
        <v>0.0</v>
      </c>
      <c r="M2135"/>
      <c r="N2135"/>
      <c r="O2135">
        <v>1.19</v>
      </c>
      <c r="P2135">
        <v>0.0</v>
      </c>
      <c r="Q2135">
        <v>7.8</v>
      </c>
      <c r="R2135"/>
      <c r="S2135"/>
      <c r="T2135"/>
      <c r="U2135"/>
      <c r="V2135"/>
      <c r="W2135">
        <v>18</v>
      </c>
    </row>
    <row r="2136" spans="1:23">
      <c r="A2136"/>
      <c r="B2136" t="s">
        <v>65</v>
      </c>
      <c r="C2136" t="s">
        <v>65</v>
      </c>
      <c r="D2136" t="s">
        <v>33</v>
      </c>
      <c r="E2136" t="s">
        <v>34</v>
      </c>
      <c r="F2136" t="str">
        <f>"0002445"</f>
        <v>0002445</v>
      </c>
      <c r="G2136">
        <v>1</v>
      </c>
      <c r="H2136" t="str">
        <f>"00000000"</f>
        <v>00000000</v>
      </c>
      <c r="I2136" t="s">
        <v>35</v>
      </c>
      <c r="J2136"/>
      <c r="K2136">
        <v>5.19</v>
      </c>
      <c r="L2136">
        <v>0.0</v>
      </c>
      <c r="M2136"/>
      <c r="N2136"/>
      <c r="O2136">
        <v>0.93</v>
      </c>
      <c r="P2136">
        <v>0.2</v>
      </c>
      <c r="Q2136">
        <v>6.32</v>
      </c>
      <c r="R2136"/>
      <c r="S2136"/>
      <c r="T2136"/>
      <c r="U2136"/>
      <c r="V2136"/>
      <c r="W2136">
        <v>18</v>
      </c>
    </row>
    <row r="2137" spans="1:23">
      <c r="A2137"/>
      <c r="B2137" t="s">
        <v>65</v>
      </c>
      <c r="C2137" t="s">
        <v>65</v>
      </c>
      <c r="D2137" t="s">
        <v>33</v>
      </c>
      <c r="E2137" t="s">
        <v>34</v>
      </c>
      <c r="F2137" t="str">
        <f>"0002446"</f>
        <v>0002446</v>
      </c>
      <c r="G2137">
        <v>1</v>
      </c>
      <c r="H2137" t="str">
        <f>"00000000"</f>
        <v>00000000</v>
      </c>
      <c r="I2137" t="s">
        <v>35</v>
      </c>
      <c r="J2137"/>
      <c r="K2137">
        <v>3.56</v>
      </c>
      <c r="L2137">
        <v>0.0</v>
      </c>
      <c r="M2137"/>
      <c r="N2137"/>
      <c r="O2137">
        <v>0.64</v>
      </c>
      <c r="P2137">
        <v>0.0</v>
      </c>
      <c r="Q2137">
        <v>4.2</v>
      </c>
      <c r="R2137"/>
      <c r="S2137"/>
      <c r="T2137"/>
      <c r="U2137"/>
      <c r="V2137"/>
      <c r="W2137">
        <v>18</v>
      </c>
    </row>
    <row r="2138" spans="1:23">
      <c r="A2138"/>
      <c r="B2138" t="s">
        <v>65</v>
      </c>
      <c r="C2138" t="s">
        <v>65</v>
      </c>
      <c r="D2138" t="s">
        <v>33</v>
      </c>
      <c r="E2138" t="s">
        <v>34</v>
      </c>
      <c r="F2138" t="str">
        <f>"0002447"</f>
        <v>0002447</v>
      </c>
      <c r="G2138">
        <v>1</v>
      </c>
      <c r="H2138" t="str">
        <f>"00000000"</f>
        <v>00000000</v>
      </c>
      <c r="I2138" t="s">
        <v>35</v>
      </c>
      <c r="J2138"/>
      <c r="K2138">
        <v>7.76</v>
      </c>
      <c r="L2138">
        <v>0.0</v>
      </c>
      <c r="M2138"/>
      <c r="N2138"/>
      <c r="O2138">
        <v>1.4</v>
      </c>
      <c r="P2138">
        <v>0.2</v>
      </c>
      <c r="Q2138">
        <v>9.35</v>
      </c>
      <c r="R2138"/>
      <c r="S2138"/>
      <c r="T2138"/>
      <c r="U2138"/>
      <c r="V2138"/>
      <c r="W2138">
        <v>18</v>
      </c>
    </row>
    <row r="2139" spans="1:23">
      <c r="A2139"/>
      <c r="B2139" t="s">
        <v>65</v>
      </c>
      <c r="C2139" t="s">
        <v>65</v>
      </c>
      <c r="D2139" t="s">
        <v>33</v>
      </c>
      <c r="E2139" t="s">
        <v>34</v>
      </c>
      <c r="F2139" t="str">
        <f>"0002448"</f>
        <v>0002448</v>
      </c>
      <c r="G2139">
        <v>1</v>
      </c>
      <c r="H2139" t="str">
        <f>"00000000"</f>
        <v>00000000</v>
      </c>
      <c r="I2139" t="s">
        <v>35</v>
      </c>
      <c r="J2139"/>
      <c r="K2139">
        <v>1.86</v>
      </c>
      <c r="L2139">
        <v>0.0</v>
      </c>
      <c r="M2139"/>
      <c r="N2139"/>
      <c r="O2139">
        <v>0.34</v>
      </c>
      <c r="P2139">
        <v>0.0</v>
      </c>
      <c r="Q2139">
        <v>2.2</v>
      </c>
      <c r="R2139"/>
      <c r="S2139"/>
      <c r="T2139"/>
      <c r="U2139"/>
      <c r="V2139"/>
      <c r="W2139">
        <v>18</v>
      </c>
    </row>
    <row r="2140" spans="1:23">
      <c r="A2140"/>
      <c r="B2140" t="s">
        <v>65</v>
      </c>
      <c r="C2140" t="s">
        <v>65</v>
      </c>
      <c r="D2140" t="s">
        <v>33</v>
      </c>
      <c r="E2140" t="s">
        <v>34</v>
      </c>
      <c r="F2140" t="str">
        <f>"0002449"</f>
        <v>0002449</v>
      </c>
      <c r="G2140">
        <v>1</v>
      </c>
      <c r="H2140" t="str">
        <f>"00000000"</f>
        <v>00000000</v>
      </c>
      <c r="I2140" t="s">
        <v>35</v>
      </c>
      <c r="J2140"/>
      <c r="K2140">
        <v>1.02</v>
      </c>
      <c r="L2140">
        <v>0.0</v>
      </c>
      <c r="M2140"/>
      <c r="N2140"/>
      <c r="O2140">
        <v>0.18</v>
      </c>
      <c r="P2140">
        <v>0.0</v>
      </c>
      <c r="Q2140">
        <v>1.2</v>
      </c>
      <c r="R2140"/>
      <c r="S2140"/>
      <c r="T2140"/>
      <c r="U2140"/>
      <c r="V2140"/>
      <c r="W2140">
        <v>18</v>
      </c>
    </row>
    <row r="2141" spans="1:23">
      <c r="A2141"/>
      <c r="B2141" t="s">
        <v>65</v>
      </c>
      <c r="C2141" t="s">
        <v>65</v>
      </c>
      <c r="D2141" t="s">
        <v>33</v>
      </c>
      <c r="E2141" t="s">
        <v>34</v>
      </c>
      <c r="F2141" t="str">
        <f>"0002450"</f>
        <v>0002450</v>
      </c>
      <c r="G2141">
        <v>1</v>
      </c>
      <c r="H2141" t="str">
        <f>"00000000"</f>
        <v>00000000</v>
      </c>
      <c r="I2141" t="s">
        <v>35</v>
      </c>
      <c r="J2141"/>
      <c r="K2141">
        <v>2.12</v>
      </c>
      <c r="L2141">
        <v>0.0</v>
      </c>
      <c r="M2141"/>
      <c r="N2141"/>
      <c r="O2141">
        <v>0.38</v>
      </c>
      <c r="P2141">
        <v>0.0</v>
      </c>
      <c r="Q2141">
        <v>2.5</v>
      </c>
      <c r="R2141"/>
      <c r="S2141"/>
      <c r="T2141"/>
      <c r="U2141"/>
      <c r="V2141"/>
      <c r="W2141">
        <v>18</v>
      </c>
    </row>
    <row r="2142" spans="1:23">
      <c r="A2142"/>
      <c r="B2142" t="s">
        <v>65</v>
      </c>
      <c r="C2142" t="s">
        <v>65</v>
      </c>
      <c r="D2142" t="s">
        <v>33</v>
      </c>
      <c r="E2142" t="s">
        <v>34</v>
      </c>
      <c r="F2142" t="str">
        <f>"0002451"</f>
        <v>0002451</v>
      </c>
      <c r="G2142">
        <v>1</v>
      </c>
      <c r="H2142" t="str">
        <f>"00000000"</f>
        <v>00000000</v>
      </c>
      <c r="I2142" t="s">
        <v>35</v>
      </c>
      <c r="J2142"/>
      <c r="K2142">
        <v>2.29</v>
      </c>
      <c r="L2142">
        <v>0.0</v>
      </c>
      <c r="M2142"/>
      <c r="N2142"/>
      <c r="O2142">
        <v>0.41</v>
      </c>
      <c r="P2142">
        <v>0.0</v>
      </c>
      <c r="Q2142">
        <v>2.7</v>
      </c>
      <c r="R2142"/>
      <c r="S2142"/>
      <c r="T2142"/>
      <c r="U2142"/>
      <c r="V2142"/>
      <c r="W2142">
        <v>18</v>
      </c>
    </row>
    <row r="2143" spans="1:23">
      <c r="A2143"/>
      <c r="B2143" t="s">
        <v>65</v>
      </c>
      <c r="C2143" t="s">
        <v>65</v>
      </c>
      <c r="D2143" t="s">
        <v>33</v>
      </c>
      <c r="E2143" t="s">
        <v>34</v>
      </c>
      <c r="F2143" t="str">
        <f>"0002452"</f>
        <v>0002452</v>
      </c>
      <c r="G2143">
        <v>1</v>
      </c>
      <c r="H2143" t="str">
        <f>"00000000"</f>
        <v>00000000</v>
      </c>
      <c r="I2143" t="s">
        <v>35</v>
      </c>
      <c r="J2143"/>
      <c r="K2143">
        <v>2.85</v>
      </c>
      <c r="L2143">
        <v>0.0</v>
      </c>
      <c r="M2143"/>
      <c r="N2143"/>
      <c r="O2143">
        <v>0.51</v>
      </c>
      <c r="P2143">
        <v>0.0</v>
      </c>
      <c r="Q2143">
        <v>3.36</v>
      </c>
      <c r="R2143"/>
      <c r="S2143"/>
      <c r="T2143"/>
      <c r="U2143"/>
      <c r="V2143"/>
      <c r="W2143">
        <v>18</v>
      </c>
    </row>
    <row r="2144" spans="1:23">
      <c r="A2144"/>
      <c r="B2144" t="s">
        <v>65</v>
      </c>
      <c r="C2144" t="s">
        <v>65</v>
      </c>
      <c r="D2144" t="s">
        <v>33</v>
      </c>
      <c r="E2144" t="s">
        <v>34</v>
      </c>
      <c r="F2144" t="str">
        <f>"0002453"</f>
        <v>0002453</v>
      </c>
      <c r="G2144">
        <v>1</v>
      </c>
      <c r="H2144" t="str">
        <f>"00000000"</f>
        <v>00000000</v>
      </c>
      <c r="I2144" t="s">
        <v>35</v>
      </c>
      <c r="J2144"/>
      <c r="K2144">
        <v>5.0</v>
      </c>
      <c r="L2144">
        <v>0.0</v>
      </c>
      <c r="M2144"/>
      <c r="N2144"/>
      <c r="O2144">
        <v>0.9</v>
      </c>
      <c r="P2144">
        <v>0.0</v>
      </c>
      <c r="Q2144">
        <v>5.9</v>
      </c>
      <c r="R2144"/>
      <c r="S2144"/>
      <c r="T2144"/>
      <c r="U2144"/>
      <c r="V2144"/>
      <c r="W2144">
        <v>18</v>
      </c>
    </row>
    <row r="2145" spans="1:23">
      <c r="A2145"/>
      <c r="B2145" t="s">
        <v>65</v>
      </c>
      <c r="C2145" t="s">
        <v>65</v>
      </c>
      <c r="D2145" t="s">
        <v>33</v>
      </c>
      <c r="E2145" t="s">
        <v>34</v>
      </c>
      <c r="F2145" t="str">
        <f>"0002454"</f>
        <v>0002454</v>
      </c>
      <c r="G2145">
        <v>1</v>
      </c>
      <c r="H2145" t="str">
        <f>"00000000"</f>
        <v>00000000</v>
      </c>
      <c r="I2145" t="s">
        <v>35</v>
      </c>
      <c r="J2145"/>
      <c r="K2145">
        <v>2.62</v>
      </c>
      <c r="L2145">
        <v>0.0</v>
      </c>
      <c r="M2145"/>
      <c r="N2145"/>
      <c r="O2145">
        <v>0.47</v>
      </c>
      <c r="P2145">
        <v>0.0</v>
      </c>
      <c r="Q2145">
        <v>3.09</v>
      </c>
      <c r="R2145"/>
      <c r="S2145"/>
      <c r="T2145"/>
      <c r="U2145"/>
      <c r="V2145"/>
      <c r="W2145">
        <v>18</v>
      </c>
    </row>
    <row r="2146" spans="1:23">
      <c r="A2146"/>
      <c r="B2146" t="s">
        <v>65</v>
      </c>
      <c r="C2146" t="s">
        <v>65</v>
      </c>
      <c r="D2146" t="s">
        <v>33</v>
      </c>
      <c r="E2146" t="s">
        <v>34</v>
      </c>
      <c r="F2146" t="str">
        <f>"0002455"</f>
        <v>0002455</v>
      </c>
      <c r="G2146">
        <v>1</v>
      </c>
      <c r="H2146" t="str">
        <f>"00000000"</f>
        <v>00000000</v>
      </c>
      <c r="I2146" t="s">
        <v>35</v>
      </c>
      <c r="J2146"/>
      <c r="K2146">
        <v>5.51</v>
      </c>
      <c r="L2146">
        <v>0.0</v>
      </c>
      <c r="M2146"/>
      <c r="N2146"/>
      <c r="O2146">
        <v>0.99</v>
      </c>
      <c r="P2146">
        <v>0.0</v>
      </c>
      <c r="Q2146">
        <v>6.5</v>
      </c>
      <c r="R2146"/>
      <c r="S2146"/>
      <c r="T2146"/>
      <c r="U2146"/>
      <c r="V2146"/>
      <c r="W2146">
        <v>18</v>
      </c>
    </row>
    <row r="2147" spans="1:23">
      <c r="A2147"/>
      <c r="B2147" t="s">
        <v>65</v>
      </c>
      <c r="C2147" t="s">
        <v>65</v>
      </c>
      <c r="D2147" t="s">
        <v>33</v>
      </c>
      <c r="E2147" t="s">
        <v>34</v>
      </c>
      <c r="F2147" t="str">
        <f>"0002456"</f>
        <v>0002456</v>
      </c>
      <c r="G2147">
        <v>1</v>
      </c>
      <c r="H2147" t="str">
        <f>"00000000"</f>
        <v>00000000</v>
      </c>
      <c r="I2147" t="s">
        <v>35</v>
      </c>
      <c r="J2147"/>
      <c r="K2147">
        <v>16.44</v>
      </c>
      <c r="L2147">
        <v>0.0</v>
      </c>
      <c r="M2147"/>
      <c r="N2147"/>
      <c r="O2147">
        <v>2.96</v>
      </c>
      <c r="P2147">
        <v>0.0</v>
      </c>
      <c r="Q2147">
        <v>19.4</v>
      </c>
      <c r="R2147"/>
      <c r="S2147"/>
      <c r="T2147"/>
      <c r="U2147"/>
      <c r="V2147"/>
      <c r="W2147">
        <v>18</v>
      </c>
    </row>
    <row r="2148" spans="1:23">
      <c r="A2148"/>
      <c r="B2148" t="s">
        <v>65</v>
      </c>
      <c r="C2148" t="s">
        <v>65</v>
      </c>
      <c r="D2148" t="s">
        <v>33</v>
      </c>
      <c r="E2148" t="s">
        <v>34</v>
      </c>
      <c r="F2148" t="str">
        <f>"0002457"</f>
        <v>0002457</v>
      </c>
      <c r="G2148">
        <v>1</v>
      </c>
      <c r="H2148" t="str">
        <f>"00000000"</f>
        <v>00000000</v>
      </c>
      <c r="I2148" t="s">
        <v>35</v>
      </c>
      <c r="J2148"/>
      <c r="K2148">
        <v>33.67</v>
      </c>
      <c r="L2148">
        <v>0.0</v>
      </c>
      <c r="M2148"/>
      <c r="N2148"/>
      <c r="O2148">
        <v>6.06</v>
      </c>
      <c r="P2148">
        <v>0.0</v>
      </c>
      <c r="Q2148">
        <v>39.73</v>
      </c>
      <c r="R2148"/>
      <c r="S2148"/>
      <c r="T2148"/>
      <c r="U2148"/>
      <c r="V2148"/>
      <c r="W2148">
        <v>18</v>
      </c>
    </row>
    <row r="2149" spans="1:23">
      <c r="A2149"/>
      <c r="B2149" t="s">
        <v>65</v>
      </c>
      <c r="C2149" t="s">
        <v>65</v>
      </c>
      <c r="D2149" t="s">
        <v>33</v>
      </c>
      <c r="E2149" t="s">
        <v>34</v>
      </c>
      <c r="F2149" t="str">
        <f>"0002458"</f>
        <v>0002458</v>
      </c>
      <c r="G2149">
        <v>1</v>
      </c>
      <c r="H2149" t="str">
        <f>"00000000"</f>
        <v>00000000</v>
      </c>
      <c r="I2149" t="s">
        <v>35</v>
      </c>
      <c r="J2149"/>
      <c r="K2149">
        <v>8.92</v>
      </c>
      <c r="L2149">
        <v>0.0</v>
      </c>
      <c r="M2149"/>
      <c r="N2149"/>
      <c r="O2149">
        <v>1.61</v>
      </c>
      <c r="P2149">
        <v>0.2</v>
      </c>
      <c r="Q2149">
        <v>10.73</v>
      </c>
      <c r="R2149"/>
      <c r="S2149"/>
      <c r="T2149"/>
      <c r="U2149"/>
      <c r="V2149"/>
      <c r="W2149">
        <v>18</v>
      </c>
    </row>
    <row r="2150" spans="1:23">
      <c r="A2150"/>
      <c r="B2150" t="s">
        <v>65</v>
      </c>
      <c r="C2150" t="s">
        <v>65</v>
      </c>
      <c r="D2150" t="s">
        <v>33</v>
      </c>
      <c r="E2150" t="s">
        <v>34</v>
      </c>
      <c r="F2150" t="str">
        <f>"0002459"</f>
        <v>0002459</v>
      </c>
      <c r="G2150">
        <v>1</v>
      </c>
      <c r="H2150" t="str">
        <f>"00000000"</f>
        <v>00000000</v>
      </c>
      <c r="I2150" t="s">
        <v>35</v>
      </c>
      <c r="J2150"/>
      <c r="K2150">
        <v>18.58</v>
      </c>
      <c r="L2150">
        <v>0.0</v>
      </c>
      <c r="M2150"/>
      <c r="N2150"/>
      <c r="O2150">
        <v>3.34</v>
      </c>
      <c r="P2150">
        <v>0.0</v>
      </c>
      <c r="Q2150">
        <v>21.92</v>
      </c>
      <c r="R2150"/>
      <c r="S2150"/>
      <c r="T2150"/>
      <c r="U2150"/>
      <c r="V2150"/>
      <c r="W2150">
        <v>18</v>
      </c>
    </row>
    <row r="2151" spans="1:23">
      <c r="A2151"/>
      <c r="B2151" t="s">
        <v>65</v>
      </c>
      <c r="C2151" t="s">
        <v>65</v>
      </c>
      <c r="D2151" t="s">
        <v>33</v>
      </c>
      <c r="E2151" t="s">
        <v>34</v>
      </c>
      <c r="F2151" t="str">
        <f>"0002460"</f>
        <v>0002460</v>
      </c>
      <c r="G2151">
        <v>1</v>
      </c>
      <c r="H2151" t="str">
        <f>"00000000"</f>
        <v>00000000</v>
      </c>
      <c r="I2151" t="s">
        <v>35</v>
      </c>
      <c r="J2151"/>
      <c r="K2151">
        <v>20.83</v>
      </c>
      <c r="L2151">
        <v>0.0</v>
      </c>
      <c r="M2151"/>
      <c r="N2151"/>
      <c r="O2151">
        <v>3.75</v>
      </c>
      <c r="P2151">
        <v>0.2</v>
      </c>
      <c r="Q2151">
        <v>24.77</v>
      </c>
      <c r="R2151"/>
      <c r="S2151"/>
      <c r="T2151"/>
      <c r="U2151"/>
      <c r="V2151"/>
      <c r="W2151">
        <v>18</v>
      </c>
    </row>
    <row r="2152" spans="1:23">
      <c r="A2152"/>
      <c r="B2152" t="s">
        <v>65</v>
      </c>
      <c r="C2152" t="s">
        <v>65</v>
      </c>
      <c r="D2152" t="s">
        <v>33</v>
      </c>
      <c r="E2152" t="s">
        <v>34</v>
      </c>
      <c r="F2152" t="str">
        <f>"0002461"</f>
        <v>0002461</v>
      </c>
      <c r="G2152">
        <v>1</v>
      </c>
      <c r="H2152" t="str">
        <f>"00000000"</f>
        <v>00000000</v>
      </c>
      <c r="I2152" t="s">
        <v>35</v>
      </c>
      <c r="J2152"/>
      <c r="K2152">
        <v>16.36</v>
      </c>
      <c r="L2152">
        <v>0.0</v>
      </c>
      <c r="M2152"/>
      <c r="N2152"/>
      <c r="O2152">
        <v>2.94</v>
      </c>
      <c r="P2152">
        <v>0.0</v>
      </c>
      <c r="Q2152">
        <v>19.3</v>
      </c>
      <c r="R2152"/>
      <c r="S2152"/>
      <c r="T2152"/>
      <c r="U2152"/>
      <c r="V2152"/>
      <c r="W2152">
        <v>18</v>
      </c>
    </row>
    <row r="2153" spans="1:23">
      <c r="A2153"/>
      <c r="B2153" t="s">
        <v>65</v>
      </c>
      <c r="C2153" t="s">
        <v>65</v>
      </c>
      <c r="D2153" t="s">
        <v>33</v>
      </c>
      <c r="E2153" t="s">
        <v>34</v>
      </c>
      <c r="F2153" t="str">
        <f>"0002462"</f>
        <v>0002462</v>
      </c>
      <c r="G2153">
        <v>1</v>
      </c>
      <c r="H2153" t="str">
        <f>"00000000"</f>
        <v>00000000</v>
      </c>
      <c r="I2153" t="s">
        <v>35</v>
      </c>
      <c r="J2153"/>
      <c r="K2153">
        <v>71.86</v>
      </c>
      <c r="L2153">
        <v>0.0</v>
      </c>
      <c r="M2153"/>
      <c r="N2153"/>
      <c r="O2153">
        <v>12.94</v>
      </c>
      <c r="P2153">
        <v>0.0</v>
      </c>
      <c r="Q2153">
        <v>84.8</v>
      </c>
      <c r="R2153"/>
      <c r="S2153"/>
      <c r="T2153"/>
      <c r="U2153"/>
      <c r="V2153"/>
      <c r="W2153">
        <v>18</v>
      </c>
    </row>
    <row r="2154" spans="1:23">
      <c r="A2154"/>
      <c r="B2154" t="s">
        <v>65</v>
      </c>
      <c r="C2154" t="s">
        <v>65</v>
      </c>
      <c r="D2154" t="s">
        <v>33</v>
      </c>
      <c r="E2154" t="s">
        <v>34</v>
      </c>
      <c r="F2154" t="str">
        <f>"0002463"</f>
        <v>0002463</v>
      </c>
      <c r="G2154">
        <v>1</v>
      </c>
      <c r="H2154" t="str">
        <f>"00000000"</f>
        <v>00000000</v>
      </c>
      <c r="I2154" t="s">
        <v>35</v>
      </c>
      <c r="J2154"/>
      <c r="K2154">
        <v>2.97</v>
      </c>
      <c r="L2154">
        <v>0.0</v>
      </c>
      <c r="M2154"/>
      <c r="N2154"/>
      <c r="O2154">
        <v>0.53</v>
      </c>
      <c r="P2154">
        <v>0.0</v>
      </c>
      <c r="Q2154">
        <v>3.5</v>
      </c>
      <c r="R2154"/>
      <c r="S2154"/>
      <c r="T2154"/>
      <c r="U2154"/>
      <c r="V2154"/>
      <c r="W2154">
        <v>18</v>
      </c>
    </row>
    <row r="2155" spans="1:23">
      <c r="A2155"/>
      <c r="B2155" t="s">
        <v>65</v>
      </c>
      <c r="C2155" t="s">
        <v>65</v>
      </c>
      <c r="D2155" t="s">
        <v>33</v>
      </c>
      <c r="E2155" t="s">
        <v>34</v>
      </c>
      <c r="F2155" t="str">
        <f>"0002464"</f>
        <v>0002464</v>
      </c>
      <c r="G2155">
        <v>1</v>
      </c>
      <c r="H2155" t="str">
        <f>"00000000"</f>
        <v>00000000</v>
      </c>
      <c r="I2155" t="s">
        <v>35</v>
      </c>
      <c r="J2155"/>
      <c r="K2155">
        <v>0.02</v>
      </c>
      <c r="L2155">
        <v>0.0</v>
      </c>
      <c r="M2155"/>
      <c r="N2155"/>
      <c r="O2155">
        <v>0.0</v>
      </c>
      <c r="P2155">
        <v>0.2</v>
      </c>
      <c r="Q2155">
        <v>0.22</v>
      </c>
      <c r="R2155"/>
      <c r="S2155"/>
      <c r="T2155"/>
      <c r="U2155"/>
      <c r="V2155"/>
      <c r="W2155">
        <v>18</v>
      </c>
    </row>
    <row r="2156" spans="1:23">
      <c r="A2156"/>
      <c r="B2156" t="s">
        <v>65</v>
      </c>
      <c r="C2156" t="s">
        <v>65</v>
      </c>
      <c r="D2156" t="s">
        <v>33</v>
      </c>
      <c r="E2156" t="s">
        <v>34</v>
      </c>
      <c r="F2156" t="str">
        <f>"0002465"</f>
        <v>0002465</v>
      </c>
      <c r="G2156">
        <v>1</v>
      </c>
      <c r="H2156" t="str">
        <f>"00000000"</f>
        <v>00000000</v>
      </c>
      <c r="I2156" t="s">
        <v>35</v>
      </c>
      <c r="J2156"/>
      <c r="K2156">
        <v>15.19</v>
      </c>
      <c r="L2156">
        <v>0.0</v>
      </c>
      <c r="M2156"/>
      <c r="N2156"/>
      <c r="O2156">
        <v>2.73</v>
      </c>
      <c r="P2156">
        <v>0.2</v>
      </c>
      <c r="Q2156">
        <v>18.12</v>
      </c>
      <c r="R2156"/>
      <c r="S2156"/>
      <c r="T2156"/>
      <c r="U2156"/>
      <c r="V2156"/>
      <c r="W2156">
        <v>18</v>
      </c>
    </row>
    <row r="2157" spans="1:23">
      <c r="A2157"/>
      <c r="B2157" t="s">
        <v>65</v>
      </c>
      <c r="C2157" t="s">
        <v>65</v>
      </c>
      <c r="D2157" t="s">
        <v>33</v>
      </c>
      <c r="E2157" t="s">
        <v>34</v>
      </c>
      <c r="F2157" t="str">
        <f>"0002466"</f>
        <v>0002466</v>
      </c>
      <c r="G2157">
        <v>1</v>
      </c>
      <c r="H2157" t="str">
        <f>"00000000"</f>
        <v>00000000</v>
      </c>
      <c r="I2157" t="s">
        <v>35</v>
      </c>
      <c r="J2157"/>
      <c r="K2157">
        <v>8.56</v>
      </c>
      <c r="L2157">
        <v>0.0</v>
      </c>
      <c r="M2157"/>
      <c r="N2157"/>
      <c r="O2157">
        <v>1.54</v>
      </c>
      <c r="P2157">
        <v>0.0</v>
      </c>
      <c r="Q2157">
        <v>10.1</v>
      </c>
      <c r="R2157"/>
      <c r="S2157"/>
      <c r="T2157"/>
      <c r="U2157"/>
      <c r="V2157"/>
      <c r="W2157">
        <v>18</v>
      </c>
    </row>
    <row r="2158" spans="1:23">
      <c r="A2158"/>
      <c r="B2158" t="s">
        <v>65</v>
      </c>
      <c r="C2158" t="s">
        <v>65</v>
      </c>
      <c r="D2158" t="s">
        <v>33</v>
      </c>
      <c r="E2158" t="s">
        <v>34</v>
      </c>
      <c r="F2158" t="str">
        <f>"0002467"</f>
        <v>0002467</v>
      </c>
      <c r="G2158">
        <v>1</v>
      </c>
      <c r="H2158" t="str">
        <f>"00000000"</f>
        <v>00000000</v>
      </c>
      <c r="I2158" t="s">
        <v>35</v>
      </c>
      <c r="J2158"/>
      <c r="K2158">
        <v>16.29</v>
      </c>
      <c r="L2158">
        <v>0.0</v>
      </c>
      <c r="M2158"/>
      <c r="N2158"/>
      <c r="O2158">
        <v>2.93</v>
      </c>
      <c r="P2158">
        <v>0.2</v>
      </c>
      <c r="Q2158">
        <v>19.42</v>
      </c>
      <c r="R2158"/>
      <c r="S2158"/>
      <c r="T2158"/>
      <c r="U2158"/>
      <c r="V2158"/>
      <c r="W2158">
        <v>18</v>
      </c>
    </row>
    <row r="2159" spans="1:23">
      <c r="A2159"/>
      <c r="B2159" t="s">
        <v>65</v>
      </c>
      <c r="C2159" t="s">
        <v>65</v>
      </c>
      <c r="D2159" t="s">
        <v>33</v>
      </c>
      <c r="E2159" t="s">
        <v>34</v>
      </c>
      <c r="F2159" t="str">
        <f>"0002468"</f>
        <v>0002468</v>
      </c>
      <c r="G2159">
        <v>1</v>
      </c>
      <c r="H2159" t="str">
        <f>"00000000"</f>
        <v>00000000</v>
      </c>
      <c r="I2159" t="s">
        <v>35</v>
      </c>
      <c r="J2159"/>
      <c r="K2159">
        <v>7.14</v>
      </c>
      <c r="L2159">
        <v>0.0</v>
      </c>
      <c r="M2159"/>
      <c r="N2159"/>
      <c r="O2159">
        <v>1.28</v>
      </c>
      <c r="P2159">
        <v>0.2</v>
      </c>
      <c r="Q2159">
        <v>8.62</v>
      </c>
      <c r="R2159"/>
      <c r="S2159"/>
      <c r="T2159"/>
      <c r="U2159"/>
      <c r="V2159"/>
      <c r="W2159">
        <v>18</v>
      </c>
    </row>
    <row r="2160" spans="1:23">
      <c r="A2160"/>
      <c r="B2160" t="s">
        <v>65</v>
      </c>
      <c r="C2160" t="s">
        <v>65</v>
      </c>
      <c r="D2160" t="s">
        <v>33</v>
      </c>
      <c r="E2160" t="s">
        <v>34</v>
      </c>
      <c r="F2160" t="str">
        <f>"0002469"</f>
        <v>0002469</v>
      </c>
      <c r="G2160">
        <v>1</v>
      </c>
      <c r="H2160" t="str">
        <f>"00000000"</f>
        <v>00000000</v>
      </c>
      <c r="I2160" t="s">
        <v>35</v>
      </c>
      <c r="J2160"/>
      <c r="K2160">
        <v>36.97</v>
      </c>
      <c r="L2160">
        <v>0.0</v>
      </c>
      <c r="M2160"/>
      <c r="N2160"/>
      <c r="O2160">
        <v>6.65</v>
      </c>
      <c r="P2160">
        <v>0.2</v>
      </c>
      <c r="Q2160">
        <v>43.82</v>
      </c>
      <c r="R2160"/>
      <c r="S2160"/>
      <c r="T2160"/>
      <c r="U2160"/>
      <c r="V2160"/>
      <c r="W2160">
        <v>18</v>
      </c>
    </row>
    <row r="2161" spans="1:23">
      <c r="A2161"/>
      <c r="B2161" t="s">
        <v>65</v>
      </c>
      <c r="C2161" t="s">
        <v>65</v>
      </c>
      <c r="D2161" t="s">
        <v>33</v>
      </c>
      <c r="E2161" t="s">
        <v>34</v>
      </c>
      <c r="F2161" t="str">
        <f>"0002470"</f>
        <v>0002470</v>
      </c>
      <c r="G2161">
        <v>1</v>
      </c>
      <c r="H2161" t="str">
        <f>"00000000"</f>
        <v>00000000</v>
      </c>
      <c r="I2161" t="s">
        <v>35</v>
      </c>
      <c r="J2161"/>
      <c r="K2161">
        <v>47.59</v>
      </c>
      <c r="L2161">
        <v>0.0</v>
      </c>
      <c r="M2161"/>
      <c r="N2161"/>
      <c r="O2161">
        <v>8.57</v>
      </c>
      <c r="P2161">
        <v>0.2</v>
      </c>
      <c r="Q2161">
        <v>56.36</v>
      </c>
      <c r="R2161"/>
      <c r="S2161"/>
      <c r="T2161"/>
      <c r="U2161"/>
      <c r="V2161"/>
      <c r="W2161">
        <v>18</v>
      </c>
    </row>
    <row r="2162" spans="1:23">
      <c r="A2162"/>
      <c r="B2162" t="s">
        <v>65</v>
      </c>
      <c r="C2162" t="s">
        <v>65</v>
      </c>
      <c r="D2162" t="s">
        <v>33</v>
      </c>
      <c r="E2162" t="s">
        <v>34</v>
      </c>
      <c r="F2162" t="str">
        <f>"0002471"</f>
        <v>0002471</v>
      </c>
      <c r="G2162">
        <v>1</v>
      </c>
      <c r="H2162" t="str">
        <f>"00000000"</f>
        <v>00000000</v>
      </c>
      <c r="I2162" t="s">
        <v>35</v>
      </c>
      <c r="J2162"/>
      <c r="K2162">
        <v>28.68</v>
      </c>
      <c r="L2162">
        <v>0.0</v>
      </c>
      <c r="M2162"/>
      <c r="N2162"/>
      <c r="O2162">
        <v>5.16</v>
      </c>
      <c r="P2162">
        <v>0.2</v>
      </c>
      <c r="Q2162">
        <v>34.05</v>
      </c>
      <c r="R2162"/>
      <c r="S2162"/>
      <c r="T2162"/>
      <c r="U2162"/>
      <c r="V2162"/>
      <c r="W2162">
        <v>18</v>
      </c>
    </row>
    <row r="2163" spans="1:23">
      <c r="A2163"/>
      <c r="B2163" t="s">
        <v>65</v>
      </c>
      <c r="C2163" t="s">
        <v>65</v>
      </c>
      <c r="D2163" t="s">
        <v>33</v>
      </c>
      <c r="E2163" t="s">
        <v>34</v>
      </c>
      <c r="F2163" t="str">
        <f>"0002472"</f>
        <v>0002472</v>
      </c>
      <c r="G2163">
        <v>1</v>
      </c>
      <c r="H2163" t="str">
        <f>"00000000"</f>
        <v>00000000</v>
      </c>
      <c r="I2163" t="s">
        <v>35</v>
      </c>
      <c r="J2163"/>
      <c r="K2163">
        <v>76.08</v>
      </c>
      <c r="L2163">
        <v>0.0</v>
      </c>
      <c r="M2163"/>
      <c r="N2163"/>
      <c r="O2163">
        <v>13.69</v>
      </c>
      <c r="P2163">
        <v>0.2</v>
      </c>
      <c r="Q2163">
        <v>89.97</v>
      </c>
      <c r="R2163"/>
      <c r="S2163"/>
      <c r="T2163"/>
      <c r="U2163"/>
      <c r="V2163"/>
      <c r="W2163">
        <v>18</v>
      </c>
    </row>
    <row r="2164" spans="1:23">
      <c r="A2164"/>
      <c r="B2164" t="s">
        <v>65</v>
      </c>
      <c r="C2164" t="s">
        <v>65</v>
      </c>
      <c r="D2164" t="s">
        <v>33</v>
      </c>
      <c r="E2164" t="s">
        <v>34</v>
      </c>
      <c r="F2164" t="str">
        <f>"0002473"</f>
        <v>0002473</v>
      </c>
      <c r="G2164">
        <v>1</v>
      </c>
      <c r="H2164" t="str">
        <f>"00000000"</f>
        <v>00000000</v>
      </c>
      <c r="I2164" t="s">
        <v>35</v>
      </c>
      <c r="J2164"/>
      <c r="K2164">
        <v>4.66</v>
      </c>
      <c r="L2164">
        <v>0.0</v>
      </c>
      <c r="M2164"/>
      <c r="N2164"/>
      <c r="O2164">
        <v>0.84</v>
      </c>
      <c r="P2164">
        <v>0.0</v>
      </c>
      <c r="Q2164">
        <v>5.5</v>
      </c>
      <c r="R2164"/>
      <c r="S2164"/>
      <c r="T2164"/>
      <c r="U2164"/>
      <c r="V2164"/>
      <c r="W2164">
        <v>18</v>
      </c>
    </row>
    <row r="2165" spans="1:23">
      <c r="A2165"/>
      <c r="B2165" t="s">
        <v>65</v>
      </c>
      <c r="C2165" t="s">
        <v>65</v>
      </c>
      <c r="D2165" t="s">
        <v>33</v>
      </c>
      <c r="E2165" t="s">
        <v>34</v>
      </c>
      <c r="F2165" t="str">
        <f>"0002474"</f>
        <v>0002474</v>
      </c>
      <c r="G2165">
        <v>1</v>
      </c>
      <c r="H2165" t="str">
        <f>"00000000"</f>
        <v>00000000</v>
      </c>
      <c r="I2165" t="s">
        <v>35</v>
      </c>
      <c r="J2165"/>
      <c r="K2165">
        <v>22.54</v>
      </c>
      <c r="L2165">
        <v>0.0</v>
      </c>
      <c r="M2165"/>
      <c r="N2165"/>
      <c r="O2165">
        <v>4.06</v>
      </c>
      <c r="P2165">
        <v>0.0</v>
      </c>
      <c r="Q2165">
        <v>26.6</v>
      </c>
      <c r="R2165"/>
      <c r="S2165"/>
      <c r="T2165"/>
      <c r="U2165"/>
      <c r="V2165"/>
      <c r="W2165">
        <v>18</v>
      </c>
    </row>
    <row r="2166" spans="1:23">
      <c r="A2166"/>
      <c r="B2166" t="s">
        <v>65</v>
      </c>
      <c r="C2166" t="s">
        <v>65</v>
      </c>
      <c r="D2166" t="s">
        <v>33</v>
      </c>
      <c r="E2166" t="s">
        <v>34</v>
      </c>
      <c r="F2166" t="str">
        <f>"0002475"</f>
        <v>0002475</v>
      </c>
      <c r="G2166">
        <v>1</v>
      </c>
      <c r="H2166" t="str">
        <f>"00000000"</f>
        <v>00000000</v>
      </c>
      <c r="I2166" t="s">
        <v>35</v>
      </c>
      <c r="J2166"/>
      <c r="K2166">
        <v>14.34</v>
      </c>
      <c r="L2166">
        <v>0.0</v>
      </c>
      <c r="M2166"/>
      <c r="N2166"/>
      <c r="O2166">
        <v>2.58</v>
      </c>
      <c r="P2166">
        <v>0.2</v>
      </c>
      <c r="Q2166">
        <v>17.12</v>
      </c>
      <c r="R2166"/>
      <c r="S2166"/>
      <c r="T2166"/>
      <c r="U2166"/>
      <c r="V2166"/>
      <c r="W2166">
        <v>18</v>
      </c>
    </row>
    <row r="2167" spans="1:23">
      <c r="A2167"/>
      <c r="B2167" t="s">
        <v>65</v>
      </c>
      <c r="C2167" t="s">
        <v>65</v>
      </c>
      <c r="D2167" t="s">
        <v>33</v>
      </c>
      <c r="E2167" t="s">
        <v>34</v>
      </c>
      <c r="F2167" t="str">
        <f>"0002476"</f>
        <v>0002476</v>
      </c>
      <c r="G2167">
        <v>1</v>
      </c>
      <c r="H2167" t="str">
        <f>"00000000"</f>
        <v>00000000</v>
      </c>
      <c r="I2167" t="s">
        <v>35</v>
      </c>
      <c r="J2167"/>
      <c r="K2167">
        <v>1.27</v>
      </c>
      <c r="L2167">
        <v>0.0</v>
      </c>
      <c r="M2167"/>
      <c r="N2167"/>
      <c r="O2167">
        <v>0.23</v>
      </c>
      <c r="P2167">
        <v>0.0</v>
      </c>
      <c r="Q2167">
        <v>1.5</v>
      </c>
      <c r="R2167"/>
      <c r="S2167"/>
      <c r="T2167"/>
      <c r="U2167"/>
      <c r="V2167"/>
      <c r="W2167">
        <v>18</v>
      </c>
    </row>
    <row r="2168" spans="1:23">
      <c r="A2168"/>
      <c r="B2168" t="s">
        <v>65</v>
      </c>
      <c r="C2168" t="s">
        <v>65</v>
      </c>
      <c r="D2168" t="s">
        <v>33</v>
      </c>
      <c r="E2168" t="s">
        <v>34</v>
      </c>
      <c r="F2168" t="str">
        <f>"0002477"</f>
        <v>0002477</v>
      </c>
      <c r="G2168">
        <v>1</v>
      </c>
      <c r="H2168" t="str">
        <f>"00000000"</f>
        <v>00000000</v>
      </c>
      <c r="I2168" t="s">
        <v>35</v>
      </c>
      <c r="J2168"/>
      <c r="K2168">
        <v>6.32</v>
      </c>
      <c r="L2168">
        <v>0.0</v>
      </c>
      <c r="M2168"/>
      <c r="N2168"/>
      <c r="O2168">
        <v>1.14</v>
      </c>
      <c r="P2168">
        <v>0.2</v>
      </c>
      <c r="Q2168">
        <v>7.65</v>
      </c>
      <c r="R2168"/>
      <c r="S2168"/>
      <c r="T2168"/>
      <c r="U2168"/>
      <c r="V2168"/>
      <c r="W2168">
        <v>18</v>
      </c>
    </row>
    <row r="2169" spans="1:23">
      <c r="A2169"/>
      <c r="B2169" t="s">
        <v>65</v>
      </c>
      <c r="C2169" t="s">
        <v>65</v>
      </c>
      <c r="D2169" t="s">
        <v>33</v>
      </c>
      <c r="E2169" t="s">
        <v>34</v>
      </c>
      <c r="F2169" t="str">
        <f>"0002478"</f>
        <v>0002478</v>
      </c>
      <c r="G2169">
        <v>1</v>
      </c>
      <c r="H2169" t="str">
        <f>"00000000"</f>
        <v>00000000</v>
      </c>
      <c r="I2169" t="s">
        <v>35</v>
      </c>
      <c r="J2169"/>
      <c r="K2169">
        <v>25.42</v>
      </c>
      <c r="L2169">
        <v>0.0</v>
      </c>
      <c r="M2169"/>
      <c r="N2169"/>
      <c r="O2169">
        <v>4.58</v>
      </c>
      <c r="P2169">
        <v>0.0</v>
      </c>
      <c r="Q2169">
        <v>30.0</v>
      </c>
      <c r="R2169"/>
      <c r="S2169"/>
      <c r="T2169"/>
      <c r="U2169"/>
      <c r="V2169"/>
      <c r="W2169">
        <v>18</v>
      </c>
    </row>
    <row r="2170" spans="1:23">
      <c r="A2170"/>
      <c r="B2170" t="s">
        <v>65</v>
      </c>
      <c r="C2170" t="s">
        <v>65</v>
      </c>
      <c r="D2170" t="s">
        <v>33</v>
      </c>
      <c r="E2170" t="s">
        <v>34</v>
      </c>
      <c r="F2170" t="str">
        <f>"0002479"</f>
        <v>0002479</v>
      </c>
      <c r="G2170">
        <v>1</v>
      </c>
      <c r="H2170" t="str">
        <f>"00000000"</f>
        <v>00000000</v>
      </c>
      <c r="I2170" t="s">
        <v>35</v>
      </c>
      <c r="J2170"/>
      <c r="K2170">
        <v>0.02</v>
      </c>
      <c r="L2170">
        <v>0.0</v>
      </c>
      <c r="M2170"/>
      <c r="N2170"/>
      <c r="O2170">
        <v>0.0</v>
      </c>
      <c r="P2170">
        <v>0.2</v>
      </c>
      <c r="Q2170">
        <v>0.22</v>
      </c>
      <c r="R2170"/>
      <c r="S2170"/>
      <c r="T2170"/>
      <c r="U2170"/>
      <c r="V2170"/>
      <c r="W2170">
        <v>18</v>
      </c>
    </row>
    <row r="2171" spans="1:23">
      <c r="A2171"/>
      <c r="B2171" t="s">
        <v>65</v>
      </c>
      <c r="C2171" t="s">
        <v>65</v>
      </c>
      <c r="D2171" t="s">
        <v>33</v>
      </c>
      <c r="E2171" t="s">
        <v>34</v>
      </c>
      <c r="F2171" t="str">
        <f>"0002480"</f>
        <v>0002480</v>
      </c>
      <c r="G2171">
        <v>1</v>
      </c>
      <c r="H2171" t="str">
        <f>"00000000"</f>
        <v>00000000</v>
      </c>
      <c r="I2171" t="s">
        <v>35</v>
      </c>
      <c r="J2171"/>
      <c r="K2171">
        <v>14.25</v>
      </c>
      <c r="L2171">
        <v>0.0</v>
      </c>
      <c r="M2171"/>
      <c r="N2171"/>
      <c r="O2171">
        <v>2.56</v>
      </c>
      <c r="P2171">
        <v>0.0</v>
      </c>
      <c r="Q2171">
        <v>16.81</v>
      </c>
      <c r="R2171"/>
      <c r="S2171"/>
      <c r="T2171"/>
      <c r="U2171"/>
      <c r="V2171"/>
      <c r="W2171">
        <v>18</v>
      </c>
    </row>
    <row r="2172" spans="1:23">
      <c r="A2172"/>
      <c r="B2172" t="s">
        <v>65</v>
      </c>
      <c r="C2172" t="s">
        <v>65</v>
      </c>
      <c r="D2172" t="s">
        <v>33</v>
      </c>
      <c r="E2172" t="s">
        <v>34</v>
      </c>
      <c r="F2172" t="str">
        <f>"0002481"</f>
        <v>0002481</v>
      </c>
      <c r="G2172">
        <v>1</v>
      </c>
      <c r="H2172" t="str">
        <f>"00000000"</f>
        <v>00000000</v>
      </c>
      <c r="I2172" t="s">
        <v>35</v>
      </c>
      <c r="J2172"/>
      <c r="K2172">
        <v>68.85</v>
      </c>
      <c r="L2172">
        <v>0.0</v>
      </c>
      <c r="M2172"/>
      <c r="N2172"/>
      <c r="O2172">
        <v>12.39</v>
      </c>
      <c r="P2172">
        <v>0.0</v>
      </c>
      <c r="Q2172">
        <v>81.25</v>
      </c>
      <c r="R2172"/>
      <c r="S2172"/>
      <c r="T2172"/>
      <c r="U2172"/>
      <c r="V2172"/>
      <c r="W2172">
        <v>18</v>
      </c>
    </row>
    <row r="2173" spans="1:23">
      <c r="A2173"/>
      <c r="B2173" t="s">
        <v>65</v>
      </c>
      <c r="C2173" t="s">
        <v>65</v>
      </c>
      <c r="D2173" t="s">
        <v>33</v>
      </c>
      <c r="E2173" t="s">
        <v>34</v>
      </c>
      <c r="F2173" t="str">
        <f>"0002482"</f>
        <v>0002482</v>
      </c>
      <c r="G2173">
        <v>1</v>
      </c>
      <c r="H2173" t="str">
        <f>"00000000"</f>
        <v>00000000</v>
      </c>
      <c r="I2173" t="s">
        <v>35</v>
      </c>
      <c r="J2173"/>
      <c r="K2173">
        <v>16.1</v>
      </c>
      <c r="L2173">
        <v>0.0</v>
      </c>
      <c r="M2173"/>
      <c r="N2173"/>
      <c r="O2173">
        <v>2.9</v>
      </c>
      <c r="P2173">
        <v>0.0</v>
      </c>
      <c r="Q2173">
        <v>19.0</v>
      </c>
      <c r="R2173"/>
      <c r="S2173"/>
      <c r="T2173"/>
      <c r="U2173"/>
      <c r="V2173"/>
      <c r="W2173">
        <v>18</v>
      </c>
    </row>
    <row r="2174" spans="1:23">
      <c r="A2174"/>
      <c r="B2174" t="s">
        <v>65</v>
      </c>
      <c r="C2174" t="s">
        <v>65</v>
      </c>
      <c r="D2174" t="s">
        <v>33</v>
      </c>
      <c r="E2174" t="s">
        <v>34</v>
      </c>
      <c r="F2174" t="str">
        <f>"0002483"</f>
        <v>0002483</v>
      </c>
      <c r="G2174">
        <v>1</v>
      </c>
      <c r="H2174" t="str">
        <f>"00000000"</f>
        <v>00000000</v>
      </c>
      <c r="I2174" t="s">
        <v>35</v>
      </c>
      <c r="J2174"/>
      <c r="K2174">
        <v>22.75</v>
      </c>
      <c r="L2174">
        <v>0.0</v>
      </c>
      <c r="M2174"/>
      <c r="N2174"/>
      <c r="O2174">
        <v>4.09</v>
      </c>
      <c r="P2174">
        <v>0.2</v>
      </c>
      <c r="Q2174">
        <v>27.04</v>
      </c>
      <c r="R2174"/>
      <c r="S2174"/>
      <c r="T2174"/>
      <c r="U2174"/>
      <c r="V2174"/>
      <c r="W2174">
        <v>18</v>
      </c>
    </row>
    <row r="2175" spans="1:23">
      <c r="A2175"/>
      <c r="B2175" t="s">
        <v>65</v>
      </c>
      <c r="C2175" t="s">
        <v>65</v>
      </c>
      <c r="D2175" t="s">
        <v>33</v>
      </c>
      <c r="E2175" t="s">
        <v>34</v>
      </c>
      <c r="F2175" t="str">
        <f>"0002484"</f>
        <v>0002484</v>
      </c>
      <c r="G2175">
        <v>1</v>
      </c>
      <c r="H2175" t="str">
        <f>"00000000"</f>
        <v>00000000</v>
      </c>
      <c r="I2175" t="s">
        <v>35</v>
      </c>
      <c r="J2175"/>
      <c r="K2175">
        <v>9.59</v>
      </c>
      <c r="L2175">
        <v>0.0</v>
      </c>
      <c r="M2175"/>
      <c r="N2175"/>
      <c r="O2175">
        <v>1.73</v>
      </c>
      <c r="P2175">
        <v>0.2</v>
      </c>
      <c r="Q2175">
        <v>11.52</v>
      </c>
      <c r="R2175"/>
      <c r="S2175"/>
      <c r="T2175"/>
      <c r="U2175"/>
      <c r="V2175"/>
      <c r="W2175">
        <v>18</v>
      </c>
    </row>
    <row r="2176" spans="1:23">
      <c r="A2176"/>
      <c r="B2176" t="s">
        <v>65</v>
      </c>
      <c r="C2176" t="s">
        <v>65</v>
      </c>
      <c r="D2176" t="s">
        <v>33</v>
      </c>
      <c r="E2176" t="s">
        <v>34</v>
      </c>
      <c r="F2176" t="str">
        <f>"0002485"</f>
        <v>0002485</v>
      </c>
      <c r="G2176">
        <v>1</v>
      </c>
      <c r="H2176" t="str">
        <f>"00000000"</f>
        <v>00000000</v>
      </c>
      <c r="I2176" t="s">
        <v>35</v>
      </c>
      <c r="J2176"/>
      <c r="K2176">
        <v>6.38</v>
      </c>
      <c r="L2176">
        <v>0.0</v>
      </c>
      <c r="M2176"/>
      <c r="N2176"/>
      <c r="O2176">
        <v>1.15</v>
      </c>
      <c r="P2176">
        <v>0.0</v>
      </c>
      <c r="Q2176">
        <v>7.53</v>
      </c>
      <c r="R2176"/>
      <c r="S2176"/>
      <c r="T2176"/>
      <c r="U2176"/>
      <c r="V2176"/>
      <c r="W2176">
        <v>18</v>
      </c>
    </row>
    <row r="2177" spans="1:23">
      <c r="A2177"/>
      <c r="B2177" t="s">
        <v>65</v>
      </c>
      <c r="C2177" t="s">
        <v>65</v>
      </c>
      <c r="D2177" t="s">
        <v>33</v>
      </c>
      <c r="E2177" t="s">
        <v>34</v>
      </c>
      <c r="F2177" t="str">
        <f>"0002486"</f>
        <v>0002486</v>
      </c>
      <c r="G2177">
        <v>1</v>
      </c>
      <c r="H2177" t="str">
        <f>"00000000"</f>
        <v>00000000</v>
      </c>
      <c r="I2177" t="s">
        <v>35</v>
      </c>
      <c r="J2177"/>
      <c r="K2177">
        <v>2.97</v>
      </c>
      <c r="L2177">
        <v>0.0</v>
      </c>
      <c r="M2177"/>
      <c r="N2177"/>
      <c r="O2177">
        <v>0.53</v>
      </c>
      <c r="P2177">
        <v>0.0</v>
      </c>
      <c r="Q2177">
        <v>3.5</v>
      </c>
      <c r="R2177"/>
      <c r="S2177"/>
      <c r="T2177"/>
      <c r="U2177"/>
      <c r="V2177"/>
      <c r="W2177">
        <v>18</v>
      </c>
    </row>
    <row r="2178" spans="1:23">
      <c r="A2178"/>
      <c r="B2178" t="s">
        <v>65</v>
      </c>
      <c r="C2178" t="s">
        <v>65</v>
      </c>
      <c r="D2178" t="s">
        <v>33</v>
      </c>
      <c r="E2178" t="s">
        <v>34</v>
      </c>
      <c r="F2178" t="str">
        <f>"0002487"</f>
        <v>0002487</v>
      </c>
      <c r="G2178">
        <v>1</v>
      </c>
      <c r="H2178" t="str">
        <f>"00000000"</f>
        <v>00000000</v>
      </c>
      <c r="I2178" t="s">
        <v>35</v>
      </c>
      <c r="J2178"/>
      <c r="K2178">
        <v>21.29</v>
      </c>
      <c r="L2178">
        <v>0.0</v>
      </c>
      <c r="M2178"/>
      <c r="N2178"/>
      <c r="O2178">
        <v>3.83</v>
      </c>
      <c r="P2178">
        <v>0.2</v>
      </c>
      <c r="Q2178">
        <v>25.32</v>
      </c>
      <c r="R2178"/>
      <c r="S2178"/>
      <c r="T2178"/>
      <c r="U2178"/>
      <c r="V2178"/>
      <c r="W2178">
        <v>18</v>
      </c>
    </row>
    <row r="2179" spans="1:23">
      <c r="A2179"/>
      <c r="B2179" t="s">
        <v>68</v>
      </c>
      <c r="C2179" t="s">
        <v>68</v>
      </c>
      <c r="D2179" t="s">
        <v>33</v>
      </c>
      <c r="E2179" t="s">
        <v>34</v>
      </c>
      <c r="F2179" t="str">
        <f>"0002488"</f>
        <v>0002488</v>
      </c>
      <c r="G2179">
        <v>1</v>
      </c>
      <c r="H2179" t="str">
        <f>"00000000"</f>
        <v>00000000</v>
      </c>
      <c r="I2179" t="s">
        <v>35</v>
      </c>
      <c r="J2179"/>
      <c r="K2179">
        <v>4.75</v>
      </c>
      <c r="L2179">
        <v>0.0</v>
      </c>
      <c r="M2179"/>
      <c r="N2179"/>
      <c r="O2179">
        <v>0.85</v>
      </c>
      <c r="P2179">
        <v>0.0</v>
      </c>
      <c r="Q2179">
        <v>5.6</v>
      </c>
      <c r="R2179"/>
      <c r="S2179"/>
      <c r="T2179"/>
      <c r="U2179"/>
      <c r="V2179"/>
      <c r="W2179">
        <v>18</v>
      </c>
    </row>
    <row r="2180" spans="1:23">
      <c r="A2180"/>
      <c r="B2180" t="s">
        <v>68</v>
      </c>
      <c r="C2180" t="s">
        <v>68</v>
      </c>
      <c r="D2180" t="s">
        <v>33</v>
      </c>
      <c r="E2180" t="s">
        <v>34</v>
      </c>
      <c r="F2180" t="str">
        <f>"0002489"</f>
        <v>0002489</v>
      </c>
      <c r="G2180">
        <v>1</v>
      </c>
      <c r="H2180" t="str">
        <f>"00000000"</f>
        <v>00000000</v>
      </c>
      <c r="I2180" t="s">
        <v>35</v>
      </c>
      <c r="J2180"/>
      <c r="K2180">
        <v>17.8</v>
      </c>
      <c r="L2180">
        <v>0.0</v>
      </c>
      <c r="M2180"/>
      <c r="N2180"/>
      <c r="O2180">
        <v>3.2</v>
      </c>
      <c r="P2180">
        <v>0.0</v>
      </c>
      <c r="Q2180">
        <v>21.0</v>
      </c>
      <c r="R2180"/>
      <c r="S2180"/>
      <c r="T2180"/>
      <c r="U2180"/>
      <c r="V2180"/>
      <c r="W2180">
        <v>18</v>
      </c>
    </row>
    <row r="2181" spans="1:23">
      <c r="A2181"/>
      <c r="B2181" t="s">
        <v>68</v>
      </c>
      <c r="C2181" t="s">
        <v>68</v>
      </c>
      <c r="D2181" t="s">
        <v>33</v>
      </c>
      <c r="E2181" t="s">
        <v>34</v>
      </c>
      <c r="F2181" t="str">
        <f>"0002490"</f>
        <v>0002490</v>
      </c>
      <c r="G2181">
        <v>1</v>
      </c>
      <c r="H2181" t="str">
        <f>"00000000"</f>
        <v>00000000</v>
      </c>
      <c r="I2181" t="s">
        <v>35</v>
      </c>
      <c r="J2181"/>
      <c r="K2181">
        <v>8.24</v>
      </c>
      <c r="L2181">
        <v>0.0</v>
      </c>
      <c r="M2181"/>
      <c r="N2181"/>
      <c r="O2181">
        <v>1.48</v>
      </c>
      <c r="P2181">
        <v>0.2</v>
      </c>
      <c r="Q2181">
        <v>9.92</v>
      </c>
      <c r="R2181"/>
      <c r="S2181"/>
      <c r="T2181"/>
      <c r="U2181"/>
      <c r="V2181"/>
      <c r="W2181">
        <v>18</v>
      </c>
    </row>
    <row r="2182" spans="1:23">
      <c r="A2182"/>
      <c r="B2182" t="s">
        <v>68</v>
      </c>
      <c r="C2182" t="s">
        <v>68</v>
      </c>
      <c r="D2182" t="s">
        <v>33</v>
      </c>
      <c r="E2182" t="s">
        <v>34</v>
      </c>
      <c r="F2182" t="str">
        <f>"0002491"</f>
        <v>0002491</v>
      </c>
      <c r="G2182">
        <v>1</v>
      </c>
      <c r="H2182" t="str">
        <f>"00000000"</f>
        <v>00000000</v>
      </c>
      <c r="I2182" t="s">
        <v>35</v>
      </c>
      <c r="J2182"/>
      <c r="K2182">
        <v>6.36</v>
      </c>
      <c r="L2182">
        <v>0.0</v>
      </c>
      <c r="M2182"/>
      <c r="N2182"/>
      <c r="O2182">
        <v>1.14</v>
      </c>
      <c r="P2182">
        <v>0.0</v>
      </c>
      <c r="Q2182">
        <v>7.5</v>
      </c>
      <c r="R2182"/>
      <c r="S2182"/>
      <c r="T2182"/>
      <c r="U2182"/>
      <c r="V2182"/>
      <c r="W2182">
        <v>18</v>
      </c>
    </row>
    <row r="2183" spans="1:23">
      <c r="A2183"/>
      <c r="B2183" t="s">
        <v>68</v>
      </c>
      <c r="C2183" t="s">
        <v>68</v>
      </c>
      <c r="D2183" t="s">
        <v>33</v>
      </c>
      <c r="E2183" t="s">
        <v>34</v>
      </c>
      <c r="F2183" t="str">
        <f>"0002492"</f>
        <v>0002492</v>
      </c>
      <c r="G2183">
        <v>1</v>
      </c>
      <c r="H2183" t="str">
        <f>"00000000"</f>
        <v>00000000</v>
      </c>
      <c r="I2183" t="s">
        <v>35</v>
      </c>
      <c r="J2183"/>
      <c r="K2183">
        <v>26.77</v>
      </c>
      <c r="L2183">
        <v>0.0</v>
      </c>
      <c r="M2183"/>
      <c r="N2183"/>
      <c r="O2183">
        <v>4.82</v>
      </c>
      <c r="P2183">
        <v>0.2</v>
      </c>
      <c r="Q2183">
        <v>31.79</v>
      </c>
      <c r="R2183"/>
      <c r="S2183"/>
      <c r="T2183"/>
      <c r="U2183"/>
      <c r="V2183"/>
      <c r="W2183">
        <v>18</v>
      </c>
    </row>
    <row r="2184" spans="1:23">
      <c r="A2184"/>
      <c r="B2184" t="s">
        <v>68</v>
      </c>
      <c r="C2184" t="s">
        <v>68</v>
      </c>
      <c r="D2184" t="s">
        <v>33</v>
      </c>
      <c r="E2184" t="s">
        <v>34</v>
      </c>
      <c r="F2184" t="str">
        <f>"0002493"</f>
        <v>0002493</v>
      </c>
      <c r="G2184">
        <v>1</v>
      </c>
      <c r="H2184" t="str">
        <f>"00000000"</f>
        <v>00000000</v>
      </c>
      <c r="I2184" t="s">
        <v>35</v>
      </c>
      <c r="J2184"/>
      <c r="K2184">
        <v>8.92</v>
      </c>
      <c r="L2184">
        <v>0.0</v>
      </c>
      <c r="M2184"/>
      <c r="N2184"/>
      <c r="O2184">
        <v>1.6</v>
      </c>
      <c r="P2184">
        <v>0.2</v>
      </c>
      <c r="Q2184">
        <v>10.72</v>
      </c>
      <c r="R2184"/>
      <c r="S2184"/>
      <c r="T2184"/>
      <c r="U2184"/>
      <c r="V2184"/>
      <c r="W2184">
        <v>18</v>
      </c>
    </row>
    <row r="2185" spans="1:23">
      <c r="A2185"/>
      <c r="B2185" t="s">
        <v>68</v>
      </c>
      <c r="C2185" t="s">
        <v>68</v>
      </c>
      <c r="D2185" t="s">
        <v>33</v>
      </c>
      <c r="E2185" t="s">
        <v>34</v>
      </c>
      <c r="F2185" t="str">
        <f>"0002494"</f>
        <v>0002494</v>
      </c>
      <c r="G2185">
        <v>1</v>
      </c>
      <c r="H2185" t="str">
        <f>"00000000"</f>
        <v>00000000</v>
      </c>
      <c r="I2185" t="s">
        <v>35</v>
      </c>
      <c r="J2185"/>
      <c r="K2185">
        <v>20.08</v>
      </c>
      <c r="L2185">
        <v>0.0</v>
      </c>
      <c r="M2185"/>
      <c r="N2185"/>
      <c r="O2185">
        <v>3.61</v>
      </c>
      <c r="P2185">
        <v>0.2</v>
      </c>
      <c r="Q2185">
        <v>23.89</v>
      </c>
      <c r="R2185"/>
      <c r="S2185"/>
      <c r="T2185"/>
      <c r="U2185"/>
      <c r="V2185"/>
      <c r="W2185">
        <v>18</v>
      </c>
    </row>
    <row r="2186" spans="1:23">
      <c r="A2186"/>
      <c r="B2186" t="s">
        <v>68</v>
      </c>
      <c r="C2186" t="s">
        <v>68</v>
      </c>
      <c r="D2186" t="s">
        <v>33</v>
      </c>
      <c r="E2186" t="s">
        <v>34</v>
      </c>
      <c r="F2186" t="str">
        <f>"0002495"</f>
        <v>0002495</v>
      </c>
      <c r="G2186">
        <v>1</v>
      </c>
      <c r="H2186" t="str">
        <f>"00000000"</f>
        <v>00000000</v>
      </c>
      <c r="I2186" t="s">
        <v>35</v>
      </c>
      <c r="J2186"/>
      <c r="K2186">
        <v>32.83</v>
      </c>
      <c r="L2186">
        <v>0.0</v>
      </c>
      <c r="M2186"/>
      <c r="N2186"/>
      <c r="O2186">
        <v>5.91</v>
      </c>
      <c r="P2186">
        <v>0.2</v>
      </c>
      <c r="Q2186">
        <v>38.94</v>
      </c>
      <c r="R2186"/>
      <c r="S2186"/>
      <c r="T2186"/>
      <c r="U2186"/>
      <c r="V2186"/>
      <c r="W2186">
        <v>18</v>
      </c>
    </row>
    <row r="2187" spans="1:23">
      <c r="A2187"/>
      <c r="B2187" t="s">
        <v>68</v>
      </c>
      <c r="C2187" t="s">
        <v>68</v>
      </c>
      <c r="D2187" t="s">
        <v>33</v>
      </c>
      <c r="E2187" t="s">
        <v>34</v>
      </c>
      <c r="F2187" t="str">
        <f>"0002496"</f>
        <v>0002496</v>
      </c>
      <c r="G2187">
        <v>1</v>
      </c>
      <c r="H2187" t="str">
        <f>"00000000"</f>
        <v>00000000</v>
      </c>
      <c r="I2187" t="s">
        <v>35</v>
      </c>
      <c r="J2187"/>
      <c r="K2187">
        <v>4.51</v>
      </c>
      <c r="L2187">
        <v>0.0</v>
      </c>
      <c r="M2187"/>
      <c r="N2187"/>
      <c r="O2187">
        <v>0.81</v>
      </c>
      <c r="P2187">
        <v>0.2</v>
      </c>
      <c r="Q2187">
        <v>5.52</v>
      </c>
      <c r="R2187"/>
      <c r="S2187"/>
      <c r="T2187"/>
      <c r="U2187"/>
      <c r="V2187"/>
      <c r="W2187">
        <v>18</v>
      </c>
    </row>
    <row r="2188" spans="1:23">
      <c r="A2188"/>
      <c r="B2188" t="s">
        <v>68</v>
      </c>
      <c r="C2188" t="s">
        <v>68</v>
      </c>
      <c r="D2188" t="s">
        <v>33</v>
      </c>
      <c r="E2188" t="s">
        <v>34</v>
      </c>
      <c r="F2188" t="str">
        <f>"0002497"</f>
        <v>0002497</v>
      </c>
      <c r="G2188">
        <v>1</v>
      </c>
      <c r="H2188" t="str">
        <f>"00000000"</f>
        <v>00000000</v>
      </c>
      <c r="I2188" t="s">
        <v>35</v>
      </c>
      <c r="J2188"/>
      <c r="K2188">
        <v>2.97</v>
      </c>
      <c r="L2188">
        <v>0.0</v>
      </c>
      <c r="M2188"/>
      <c r="N2188"/>
      <c r="O2188">
        <v>0.53</v>
      </c>
      <c r="P2188">
        <v>0.0</v>
      </c>
      <c r="Q2188">
        <v>3.5</v>
      </c>
      <c r="R2188"/>
      <c r="S2188"/>
      <c r="T2188"/>
      <c r="U2188"/>
      <c r="V2188"/>
      <c r="W2188">
        <v>18</v>
      </c>
    </row>
    <row r="2189" spans="1:23">
      <c r="A2189"/>
      <c r="B2189" t="s">
        <v>68</v>
      </c>
      <c r="C2189" t="s">
        <v>68</v>
      </c>
      <c r="D2189" t="s">
        <v>33</v>
      </c>
      <c r="E2189" t="s">
        <v>34</v>
      </c>
      <c r="F2189" t="str">
        <f>"0002498"</f>
        <v>0002498</v>
      </c>
      <c r="G2189">
        <v>1</v>
      </c>
      <c r="H2189" t="str">
        <f>"00000000"</f>
        <v>00000000</v>
      </c>
      <c r="I2189" t="s">
        <v>35</v>
      </c>
      <c r="J2189"/>
      <c r="K2189">
        <v>38.31</v>
      </c>
      <c r="L2189">
        <v>0.0</v>
      </c>
      <c r="M2189"/>
      <c r="N2189"/>
      <c r="O2189">
        <v>6.89</v>
      </c>
      <c r="P2189">
        <v>0.0</v>
      </c>
      <c r="Q2189">
        <v>45.2</v>
      </c>
      <c r="R2189"/>
      <c r="S2189"/>
      <c r="T2189"/>
      <c r="U2189"/>
      <c r="V2189"/>
      <c r="W2189">
        <v>18</v>
      </c>
    </row>
    <row r="2190" spans="1:23">
      <c r="A2190"/>
      <c r="B2190" t="s">
        <v>68</v>
      </c>
      <c r="C2190" t="s">
        <v>68</v>
      </c>
      <c r="D2190" t="s">
        <v>33</v>
      </c>
      <c r="E2190" t="s">
        <v>34</v>
      </c>
      <c r="F2190" t="str">
        <f>"0002499"</f>
        <v>0002499</v>
      </c>
      <c r="G2190">
        <v>1</v>
      </c>
      <c r="H2190" t="str">
        <f>"00000000"</f>
        <v>00000000</v>
      </c>
      <c r="I2190" t="s">
        <v>35</v>
      </c>
      <c r="J2190"/>
      <c r="K2190">
        <v>5.68</v>
      </c>
      <c r="L2190">
        <v>0.0</v>
      </c>
      <c r="M2190"/>
      <c r="N2190"/>
      <c r="O2190">
        <v>1.02</v>
      </c>
      <c r="P2190">
        <v>0.0</v>
      </c>
      <c r="Q2190">
        <v>6.7</v>
      </c>
      <c r="R2190"/>
      <c r="S2190"/>
      <c r="T2190"/>
      <c r="U2190"/>
      <c r="V2190"/>
      <c r="W2190">
        <v>18</v>
      </c>
    </row>
    <row r="2191" spans="1:23">
      <c r="A2191"/>
      <c r="B2191" t="s">
        <v>68</v>
      </c>
      <c r="C2191" t="s">
        <v>68</v>
      </c>
      <c r="D2191" t="s">
        <v>33</v>
      </c>
      <c r="E2191" t="s">
        <v>34</v>
      </c>
      <c r="F2191" t="str">
        <f>"0002500"</f>
        <v>0002500</v>
      </c>
      <c r="G2191">
        <v>1</v>
      </c>
      <c r="H2191" t="str">
        <f>"00000000"</f>
        <v>00000000</v>
      </c>
      <c r="I2191" t="s">
        <v>35</v>
      </c>
      <c r="J2191"/>
      <c r="K2191">
        <v>7.22</v>
      </c>
      <c r="L2191">
        <v>0.0</v>
      </c>
      <c r="M2191"/>
      <c r="N2191"/>
      <c r="O2191">
        <v>1.3</v>
      </c>
      <c r="P2191">
        <v>0.2</v>
      </c>
      <c r="Q2191">
        <v>8.72</v>
      </c>
      <c r="R2191"/>
      <c r="S2191"/>
      <c r="T2191"/>
      <c r="U2191"/>
      <c r="V2191"/>
      <c r="W2191">
        <v>18</v>
      </c>
    </row>
    <row r="2192" spans="1:23">
      <c r="A2192"/>
      <c r="B2192" t="s">
        <v>68</v>
      </c>
      <c r="C2192" t="s">
        <v>68</v>
      </c>
      <c r="D2192" t="s">
        <v>33</v>
      </c>
      <c r="E2192" t="s">
        <v>34</v>
      </c>
      <c r="F2192" t="str">
        <f>"0002501"</f>
        <v>0002501</v>
      </c>
      <c r="G2192">
        <v>1</v>
      </c>
      <c r="H2192" t="str">
        <f>"00000000"</f>
        <v>00000000</v>
      </c>
      <c r="I2192" t="s">
        <v>35</v>
      </c>
      <c r="J2192"/>
      <c r="K2192">
        <v>7.85</v>
      </c>
      <c r="L2192">
        <v>0.0</v>
      </c>
      <c r="M2192"/>
      <c r="N2192"/>
      <c r="O2192">
        <v>1.41</v>
      </c>
      <c r="P2192">
        <v>0.0</v>
      </c>
      <c r="Q2192">
        <v>9.26</v>
      </c>
      <c r="R2192"/>
      <c r="S2192"/>
      <c r="T2192"/>
      <c r="U2192"/>
      <c r="V2192"/>
      <c r="W2192">
        <v>18</v>
      </c>
    </row>
    <row r="2193" spans="1:23">
      <c r="A2193"/>
      <c r="B2193" t="s">
        <v>68</v>
      </c>
      <c r="C2193" t="s">
        <v>68</v>
      </c>
      <c r="D2193" t="s">
        <v>33</v>
      </c>
      <c r="E2193" t="s">
        <v>34</v>
      </c>
      <c r="F2193" t="str">
        <f>"0002502"</f>
        <v>0002502</v>
      </c>
      <c r="G2193">
        <v>1</v>
      </c>
      <c r="H2193" t="str">
        <f>"00000000"</f>
        <v>00000000</v>
      </c>
      <c r="I2193" t="s">
        <v>35</v>
      </c>
      <c r="J2193"/>
      <c r="K2193">
        <v>5.53</v>
      </c>
      <c r="L2193">
        <v>0.0</v>
      </c>
      <c r="M2193"/>
      <c r="N2193"/>
      <c r="O2193">
        <v>1.0</v>
      </c>
      <c r="P2193">
        <v>0.0</v>
      </c>
      <c r="Q2193">
        <v>6.53</v>
      </c>
      <c r="R2193"/>
      <c r="S2193"/>
      <c r="T2193"/>
      <c r="U2193"/>
      <c r="V2193"/>
      <c r="W2193">
        <v>18</v>
      </c>
    </row>
    <row r="2194" spans="1:23">
      <c r="A2194"/>
      <c r="B2194" t="s">
        <v>68</v>
      </c>
      <c r="C2194" t="s">
        <v>68</v>
      </c>
      <c r="D2194" t="s">
        <v>33</v>
      </c>
      <c r="E2194" t="s">
        <v>34</v>
      </c>
      <c r="F2194" t="str">
        <f>"0002503"</f>
        <v>0002503</v>
      </c>
      <c r="G2194">
        <v>1</v>
      </c>
      <c r="H2194" t="str">
        <f>"00000000"</f>
        <v>00000000</v>
      </c>
      <c r="I2194" t="s">
        <v>35</v>
      </c>
      <c r="J2194"/>
      <c r="K2194">
        <v>2.06</v>
      </c>
      <c r="L2194">
        <v>0.0</v>
      </c>
      <c r="M2194"/>
      <c r="N2194"/>
      <c r="O2194">
        <v>0.37</v>
      </c>
      <c r="P2194">
        <v>0.0</v>
      </c>
      <c r="Q2194">
        <v>2.43</v>
      </c>
      <c r="R2194"/>
      <c r="S2194"/>
      <c r="T2194"/>
      <c r="U2194"/>
      <c r="V2194"/>
      <c r="W2194">
        <v>18</v>
      </c>
    </row>
    <row r="2195" spans="1:23">
      <c r="A2195"/>
      <c r="B2195" t="s">
        <v>68</v>
      </c>
      <c r="C2195" t="s">
        <v>68</v>
      </c>
      <c r="D2195" t="s">
        <v>33</v>
      </c>
      <c r="E2195" t="s">
        <v>34</v>
      </c>
      <c r="F2195" t="str">
        <f>"0002504"</f>
        <v>0002504</v>
      </c>
      <c r="G2195">
        <v>1</v>
      </c>
      <c r="H2195" t="str">
        <f>"00000000"</f>
        <v>00000000</v>
      </c>
      <c r="I2195" t="s">
        <v>35</v>
      </c>
      <c r="J2195"/>
      <c r="K2195">
        <v>12.29</v>
      </c>
      <c r="L2195">
        <v>0.0</v>
      </c>
      <c r="M2195"/>
      <c r="N2195"/>
      <c r="O2195">
        <v>2.21</v>
      </c>
      <c r="P2195">
        <v>0.0</v>
      </c>
      <c r="Q2195">
        <v>14.5</v>
      </c>
      <c r="R2195"/>
      <c r="S2195"/>
      <c r="T2195"/>
      <c r="U2195"/>
      <c r="V2195"/>
      <c r="W2195">
        <v>18</v>
      </c>
    </row>
    <row r="2196" spans="1:23">
      <c r="A2196"/>
      <c r="B2196" t="s">
        <v>68</v>
      </c>
      <c r="C2196" t="s">
        <v>68</v>
      </c>
      <c r="D2196" t="s">
        <v>33</v>
      </c>
      <c r="E2196" t="s">
        <v>34</v>
      </c>
      <c r="F2196" t="str">
        <f>"0002505"</f>
        <v>0002505</v>
      </c>
      <c r="G2196">
        <v>1</v>
      </c>
      <c r="H2196" t="str">
        <f>"00000000"</f>
        <v>00000000</v>
      </c>
      <c r="I2196" t="s">
        <v>35</v>
      </c>
      <c r="J2196"/>
      <c r="K2196">
        <v>37.99</v>
      </c>
      <c r="L2196">
        <v>0.0</v>
      </c>
      <c r="M2196"/>
      <c r="N2196"/>
      <c r="O2196">
        <v>6.84</v>
      </c>
      <c r="P2196">
        <v>0.6</v>
      </c>
      <c r="Q2196">
        <v>45.43</v>
      </c>
      <c r="R2196"/>
      <c r="S2196"/>
      <c r="T2196"/>
      <c r="U2196"/>
      <c r="V2196"/>
      <c r="W2196">
        <v>18</v>
      </c>
    </row>
    <row r="2197" spans="1:23">
      <c r="A2197"/>
      <c r="B2197" t="s">
        <v>68</v>
      </c>
      <c r="C2197" t="s">
        <v>68</v>
      </c>
      <c r="D2197" t="s">
        <v>33</v>
      </c>
      <c r="E2197" t="s">
        <v>34</v>
      </c>
      <c r="F2197" t="str">
        <f>"0002506"</f>
        <v>0002506</v>
      </c>
      <c r="G2197">
        <v>1</v>
      </c>
      <c r="H2197" t="str">
        <f>"00000000"</f>
        <v>00000000</v>
      </c>
      <c r="I2197" t="s">
        <v>35</v>
      </c>
      <c r="J2197"/>
      <c r="K2197">
        <v>6.2</v>
      </c>
      <c r="L2197">
        <v>0.0</v>
      </c>
      <c r="M2197"/>
      <c r="N2197"/>
      <c r="O2197">
        <v>1.12</v>
      </c>
      <c r="P2197">
        <v>0.2</v>
      </c>
      <c r="Q2197">
        <v>7.52</v>
      </c>
      <c r="R2197"/>
      <c r="S2197"/>
      <c r="T2197"/>
      <c r="U2197"/>
      <c r="V2197"/>
      <c r="W2197">
        <v>18</v>
      </c>
    </row>
    <row r="2198" spans="1:23">
      <c r="A2198"/>
      <c r="B2198" t="s">
        <v>68</v>
      </c>
      <c r="C2198" t="s">
        <v>68</v>
      </c>
      <c r="D2198" t="s">
        <v>33</v>
      </c>
      <c r="E2198" t="s">
        <v>34</v>
      </c>
      <c r="F2198" t="str">
        <f>"0002507"</f>
        <v>0002507</v>
      </c>
      <c r="G2198">
        <v>1</v>
      </c>
      <c r="H2198" t="str">
        <f>"00000000"</f>
        <v>00000000</v>
      </c>
      <c r="I2198" t="s">
        <v>35</v>
      </c>
      <c r="J2198"/>
      <c r="K2198">
        <v>2.19</v>
      </c>
      <c r="L2198">
        <v>0.0</v>
      </c>
      <c r="M2198"/>
      <c r="N2198"/>
      <c r="O2198">
        <v>0.39</v>
      </c>
      <c r="P2198">
        <v>0.0</v>
      </c>
      <c r="Q2198">
        <v>2.59</v>
      </c>
      <c r="R2198"/>
      <c r="S2198"/>
      <c r="T2198"/>
      <c r="U2198"/>
      <c r="V2198"/>
      <c r="W2198">
        <v>18</v>
      </c>
    </row>
    <row r="2199" spans="1:23">
      <c r="A2199"/>
      <c r="B2199" t="s">
        <v>68</v>
      </c>
      <c r="C2199" t="s">
        <v>68</v>
      </c>
      <c r="D2199" t="s">
        <v>33</v>
      </c>
      <c r="E2199" t="s">
        <v>34</v>
      </c>
      <c r="F2199" t="str">
        <f>"0002508"</f>
        <v>0002508</v>
      </c>
      <c r="G2199">
        <v>1</v>
      </c>
      <c r="H2199" t="str">
        <f>"00000000"</f>
        <v>00000000</v>
      </c>
      <c r="I2199" t="s">
        <v>35</v>
      </c>
      <c r="J2199"/>
      <c r="K2199">
        <v>28.15</v>
      </c>
      <c r="L2199">
        <v>0.0</v>
      </c>
      <c r="M2199"/>
      <c r="N2199"/>
      <c r="O2199">
        <v>5.07</v>
      </c>
      <c r="P2199">
        <v>0.2</v>
      </c>
      <c r="Q2199">
        <v>33.42</v>
      </c>
      <c r="R2199"/>
      <c r="S2199"/>
      <c r="T2199"/>
      <c r="U2199"/>
      <c r="V2199"/>
      <c r="W2199">
        <v>18</v>
      </c>
    </row>
    <row r="2200" spans="1:23">
      <c r="A2200"/>
      <c r="B2200" t="s">
        <v>68</v>
      </c>
      <c r="C2200" t="s">
        <v>68</v>
      </c>
      <c r="D2200" t="s">
        <v>33</v>
      </c>
      <c r="E2200" t="s">
        <v>34</v>
      </c>
      <c r="F2200" t="str">
        <f>"0002509"</f>
        <v>0002509</v>
      </c>
      <c r="G2200">
        <v>1</v>
      </c>
      <c r="H2200" t="str">
        <f>"00000000"</f>
        <v>00000000</v>
      </c>
      <c r="I2200" t="s">
        <v>35</v>
      </c>
      <c r="J2200"/>
      <c r="K2200">
        <v>7.12</v>
      </c>
      <c r="L2200">
        <v>0.0</v>
      </c>
      <c r="M2200"/>
      <c r="N2200"/>
      <c r="O2200">
        <v>1.28</v>
      </c>
      <c r="P2200">
        <v>0.2</v>
      </c>
      <c r="Q2200">
        <v>8.6</v>
      </c>
      <c r="R2200"/>
      <c r="S2200"/>
      <c r="T2200"/>
      <c r="U2200"/>
      <c r="V2200"/>
      <c r="W2200">
        <v>18</v>
      </c>
    </row>
    <row r="2201" spans="1:23">
      <c r="A2201"/>
      <c r="B2201" t="s">
        <v>68</v>
      </c>
      <c r="C2201" t="s">
        <v>68</v>
      </c>
      <c r="D2201" t="s">
        <v>33</v>
      </c>
      <c r="E2201" t="s">
        <v>34</v>
      </c>
      <c r="F2201" t="str">
        <f>"0002510"</f>
        <v>0002510</v>
      </c>
      <c r="G2201">
        <v>1</v>
      </c>
      <c r="H2201" t="str">
        <f>"00000000"</f>
        <v>00000000</v>
      </c>
      <c r="I2201" t="s">
        <v>35</v>
      </c>
      <c r="J2201"/>
      <c r="K2201">
        <v>3.81</v>
      </c>
      <c r="L2201">
        <v>0.0</v>
      </c>
      <c r="M2201"/>
      <c r="N2201"/>
      <c r="O2201">
        <v>0.69</v>
      </c>
      <c r="P2201">
        <v>0.0</v>
      </c>
      <c r="Q2201">
        <v>4.5</v>
      </c>
      <c r="R2201"/>
      <c r="S2201"/>
      <c r="T2201"/>
      <c r="U2201"/>
      <c r="V2201"/>
      <c r="W2201">
        <v>18</v>
      </c>
    </row>
    <row r="2202" spans="1:23">
      <c r="A2202"/>
      <c r="B2202" t="s">
        <v>68</v>
      </c>
      <c r="C2202" t="s">
        <v>68</v>
      </c>
      <c r="D2202" t="s">
        <v>33</v>
      </c>
      <c r="E2202" t="s">
        <v>34</v>
      </c>
      <c r="F2202" t="str">
        <f>"0002511"</f>
        <v>0002511</v>
      </c>
      <c r="G2202">
        <v>1</v>
      </c>
      <c r="H2202" t="str">
        <f>"00000000"</f>
        <v>00000000</v>
      </c>
      <c r="I2202" t="s">
        <v>35</v>
      </c>
      <c r="J2202"/>
      <c r="K2202">
        <v>1.69</v>
      </c>
      <c r="L2202">
        <v>0.0</v>
      </c>
      <c r="M2202"/>
      <c r="N2202"/>
      <c r="O2202">
        <v>0.3</v>
      </c>
      <c r="P2202">
        <v>0.0</v>
      </c>
      <c r="Q2202">
        <v>1.99</v>
      </c>
      <c r="R2202"/>
      <c r="S2202"/>
      <c r="T2202"/>
      <c r="U2202"/>
      <c r="V2202"/>
      <c r="W2202">
        <v>18</v>
      </c>
    </row>
    <row r="2203" spans="1:23">
      <c r="A2203"/>
      <c r="B2203" t="s">
        <v>68</v>
      </c>
      <c r="C2203" t="s">
        <v>68</v>
      </c>
      <c r="D2203" t="s">
        <v>33</v>
      </c>
      <c r="E2203" t="s">
        <v>34</v>
      </c>
      <c r="F2203" t="str">
        <f>"0002512"</f>
        <v>0002512</v>
      </c>
      <c r="G2203">
        <v>1</v>
      </c>
      <c r="H2203" t="str">
        <f>"00000000"</f>
        <v>00000000</v>
      </c>
      <c r="I2203" t="s">
        <v>35</v>
      </c>
      <c r="J2203"/>
      <c r="K2203">
        <v>1.12</v>
      </c>
      <c r="L2203">
        <v>0.0</v>
      </c>
      <c r="M2203"/>
      <c r="N2203"/>
      <c r="O2203">
        <v>0.2</v>
      </c>
      <c r="P2203">
        <v>0.0</v>
      </c>
      <c r="Q2203">
        <v>1.32</v>
      </c>
      <c r="R2203"/>
      <c r="S2203"/>
      <c r="T2203"/>
      <c r="U2203"/>
      <c r="V2203"/>
      <c r="W2203">
        <v>18</v>
      </c>
    </row>
    <row r="2204" spans="1:23">
      <c r="A2204"/>
      <c r="B2204" t="s">
        <v>68</v>
      </c>
      <c r="C2204" t="s">
        <v>68</v>
      </c>
      <c r="D2204" t="s">
        <v>33</v>
      </c>
      <c r="E2204" t="s">
        <v>34</v>
      </c>
      <c r="F2204" t="str">
        <f>"0002513"</f>
        <v>0002513</v>
      </c>
      <c r="G2204">
        <v>1</v>
      </c>
      <c r="H2204" t="str">
        <f>"00000000"</f>
        <v>00000000</v>
      </c>
      <c r="I2204" t="s">
        <v>35</v>
      </c>
      <c r="J2204"/>
      <c r="K2204">
        <v>1.69</v>
      </c>
      <c r="L2204">
        <v>0.0</v>
      </c>
      <c r="M2204"/>
      <c r="N2204"/>
      <c r="O2204">
        <v>0.31</v>
      </c>
      <c r="P2204">
        <v>0.0</v>
      </c>
      <c r="Q2204">
        <v>2.0</v>
      </c>
      <c r="R2204"/>
      <c r="S2204"/>
      <c r="T2204"/>
      <c r="U2204"/>
      <c r="V2204"/>
      <c r="W2204">
        <v>18</v>
      </c>
    </row>
    <row r="2205" spans="1:23">
      <c r="A2205"/>
      <c r="B2205" t="s">
        <v>68</v>
      </c>
      <c r="C2205" t="s">
        <v>68</v>
      </c>
      <c r="D2205" t="s">
        <v>33</v>
      </c>
      <c r="E2205" t="s">
        <v>34</v>
      </c>
      <c r="F2205" t="str">
        <f>"0002514"</f>
        <v>0002514</v>
      </c>
      <c r="G2205">
        <v>1</v>
      </c>
      <c r="H2205" t="str">
        <f>"00000000"</f>
        <v>00000000</v>
      </c>
      <c r="I2205" t="s">
        <v>35</v>
      </c>
      <c r="J2205"/>
      <c r="K2205">
        <v>129.68</v>
      </c>
      <c r="L2205">
        <v>0.0</v>
      </c>
      <c r="M2205"/>
      <c r="N2205"/>
      <c r="O2205">
        <v>23.34</v>
      </c>
      <c r="P2205">
        <v>0.8</v>
      </c>
      <c r="Q2205">
        <v>153.82</v>
      </c>
      <c r="R2205"/>
      <c r="S2205"/>
      <c r="T2205"/>
      <c r="U2205"/>
      <c r="V2205"/>
      <c r="W2205">
        <v>18</v>
      </c>
    </row>
    <row r="2206" spans="1:23">
      <c r="A2206"/>
      <c r="B2206" t="s">
        <v>68</v>
      </c>
      <c r="C2206" t="s">
        <v>68</v>
      </c>
      <c r="D2206" t="s">
        <v>33</v>
      </c>
      <c r="E2206" t="s">
        <v>34</v>
      </c>
      <c r="F2206" t="str">
        <f>"0002515"</f>
        <v>0002515</v>
      </c>
      <c r="G2206">
        <v>1</v>
      </c>
      <c r="H2206" t="str">
        <f>"00000000"</f>
        <v>00000000</v>
      </c>
      <c r="I2206" t="s">
        <v>35</v>
      </c>
      <c r="J2206"/>
      <c r="K2206">
        <v>12.94</v>
      </c>
      <c r="L2206">
        <v>0.0</v>
      </c>
      <c r="M2206"/>
      <c r="N2206"/>
      <c r="O2206">
        <v>2.33</v>
      </c>
      <c r="P2206">
        <v>0.0</v>
      </c>
      <c r="Q2206">
        <v>15.27</v>
      </c>
      <c r="R2206"/>
      <c r="S2206"/>
      <c r="T2206"/>
      <c r="U2206"/>
      <c r="V2206"/>
      <c r="W2206">
        <v>18</v>
      </c>
    </row>
    <row r="2207" spans="1:23">
      <c r="A2207"/>
      <c r="B2207" t="s">
        <v>68</v>
      </c>
      <c r="C2207" t="s">
        <v>68</v>
      </c>
      <c r="D2207" t="s">
        <v>33</v>
      </c>
      <c r="E2207" t="s">
        <v>34</v>
      </c>
      <c r="F2207" t="str">
        <f>"0002516"</f>
        <v>0002516</v>
      </c>
      <c r="G2207">
        <v>1</v>
      </c>
      <c r="H2207" t="str">
        <f>"00000000"</f>
        <v>00000000</v>
      </c>
      <c r="I2207" t="s">
        <v>35</v>
      </c>
      <c r="J2207"/>
      <c r="K2207">
        <v>28.07</v>
      </c>
      <c r="L2207">
        <v>0.0</v>
      </c>
      <c r="M2207"/>
      <c r="N2207"/>
      <c r="O2207">
        <v>5.05</v>
      </c>
      <c r="P2207">
        <v>0.2</v>
      </c>
      <c r="Q2207">
        <v>33.32</v>
      </c>
      <c r="R2207"/>
      <c r="S2207"/>
      <c r="T2207"/>
      <c r="U2207"/>
      <c r="V2207"/>
      <c r="W2207">
        <v>18</v>
      </c>
    </row>
    <row r="2208" spans="1:23">
      <c r="A2208"/>
      <c r="B2208" t="s">
        <v>68</v>
      </c>
      <c r="C2208" t="s">
        <v>68</v>
      </c>
      <c r="D2208" t="s">
        <v>33</v>
      </c>
      <c r="E2208" t="s">
        <v>34</v>
      </c>
      <c r="F2208" t="str">
        <f>"0002517"</f>
        <v>0002517</v>
      </c>
      <c r="G2208">
        <v>1</v>
      </c>
      <c r="H2208" t="str">
        <f>"00000000"</f>
        <v>00000000</v>
      </c>
      <c r="I2208" t="s">
        <v>35</v>
      </c>
      <c r="J2208"/>
      <c r="K2208">
        <v>34.19</v>
      </c>
      <c r="L2208">
        <v>0.0</v>
      </c>
      <c r="M2208"/>
      <c r="N2208"/>
      <c r="O2208">
        <v>6.15</v>
      </c>
      <c r="P2208">
        <v>0.2</v>
      </c>
      <c r="Q2208">
        <v>40.55</v>
      </c>
      <c r="R2208"/>
      <c r="S2208"/>
      <c r="T2208"/>
      <c r="U2208"/>
      <c r="V2208"/>
      <c r="W2208">
        <v>18</v>
      </c>
    </row>
    <row r="2209" spans="1:23">
      <c r="A2209"/>
      <c r="B2209" t="s">
        <v>68</v>
      </c>
      <c r="C2209" t="s">
        <v>68</v>
      </c>
      <c r="D2209" t="s">
        <v>33</v>
      </c>
      <c r="E2209" t="s">
        <v>34</v>
      </c>
      <c r="F2209" t="str">
        <f>"0002518"</f>
        <v>0002518</v>
      </c>
      <c r="G2209">
        <v>1</v>
      </c>
      <c r="H2209" t="str">
        <f>"00000000"</f>
        <v>00000000</v>
      </c>
      <c r="I2209" t="s">
        <v>35</v>
      </c>
      <c r="J2209"/>
      <c r="K2209">
        <v>3.81</v>
      </c>
      <c r="L2209">
        <v>0.0</v>
      </c>
      <c r="M2209"/>
      <c r="N2209"/>
      <c r="O2209">
        <v>0.69</v>
      </c>
      <c r="P2209">
        <v>0.0</v>
      </c>
      <c r="Q2209">
        <v>4.5</v>
      </c>
      <c r="R2209"/>
      <c r="S2209"/>
      <c r="T2209"/>
      <c r="U2209"/>
      <c r="V2209"/>
      <c r="W2209">
        <v>18</v>
      </c>
    </row>
    <row r="2210" spans="1:23">
      <c r="A2210"/>
      <c r="B2210" t="s">
        <v>68</v>
      </c>
      <c r="C2210" t="s">
        <v>68</v>
      </c>
      <c r="D2210" t="s">
        <v>33</v>
      </c>
      <c r="E2210" t="s">
        <v>34</v>
      </c>
      <c r="F2210" t="str">
        <f>"0002519"</f>
        <v>0002519</v>
      </c>
      <c r="G2210">
        <v>1</v>
      </c>
      <c r="H2210" t="str">
        <f>"00000000"</f>
        <v>00000000</v>
      </c>
      <c r="I2210" t="s">
        <v>35</v>
      </c>
      <c r="J2210"/>
      <c r="K2210">
        <v>8.64</v>
      </c>
      <c r="L2210">
        <v>0.0</v>
      </c>
      <c r="M2210"/>
      <c r="N2210"/>
      <c r="O2210">
        <v>1.55</v>
      </c>
      <c r="P2210">
        <v>0.2</v>
      </c>
      <c r="Q2210">
        <v>10.39</v>
      </c>
      <c r="R2210"/>
      <c r="S2210"/>
      <c r="T2210"/>
      <c r="U2210"/>
      <c r="V2210"/>
      <c r="W2210">
        <v>18</v>
      </c>
    </row>
    <row r="2211" spans="1:23">
      <c r="A2211"/>
      <c r="B2211" t="s">
        <v>68</v>
      </c>
      <c r="C2211" t="s">
        <v>68</v>
      </c>
      <c r="D2211" t="s">
        <v>33</v>
      </c>
      <c r="E2211" t="s">
        <v>34</v>
      </c>
      <c r="F2211" t="str">
        <f>"0002520"</f>
        <v>0002520</v>
      </c>
      <c r="G2211">
        <v>1</v>
      </c>
      <c r="H2211" t="str">
        <f>"00000000"</f>
        <v>00000000</v>
      </c>
      <c r="I2211" t="s">
        <v>35</v>
      </c>
      <c r="J2211"/>
      <c r="K2211">
        <v>16.86</v>
      </c>
      <c r="L2211">
        <v>0.0</v>
      </c>
      <c r="M2211"/>
      <c r="N2211"/>
      <c r="O2211">
        <v>3.04</v>
      </c>
      <c r="P2211">
        <v>0.0</v>
      </c>
      <c r="Q2211">
        <v>19.9</v>
      </c>
      <c r="R2211"/>
      <c r="S2211"/>
      <c r="T2211"/>
      <c r="U2211"/>
      <c r="V2211"/>
      <c r="W2211">
        <v>18</v>
      </c>
    </row>
    <row r="2212" spans="1:23">
      <c r="A2212"/>
      <c r="B2212" t="s">
        <v>68</v>
      </c>
      <c r="C2212" t="s">
        <v>68</v>
      </c>
      <c r="D2212" t="s">
        <v>33</v>
      </c>
      <c r="E2212" t="s">
        <v>34</v>
      </c>
      <c r="F2212" t="str">
        <f>"0002521"</f>
        <v>0002521</v>
      </c>
      <c r="G2212">
        <v>1</v>
      </c>
      <c r="H2212" t="str">
        <f>"00000000"</f>
        <v>00000000</v>
      </c>
      <c r="I2212" t="s">
        <v>35</v>
      </c>
      <c r="J2212"/>
      <c r="K2212">
        <v>2.97</v>
      </c>
      <c r="L2212">
        <v>0.0</v>
      </c>
      <c r="M2212"/>
      <c r="N2212"/>
      <c r="O2212">
        <v>0.53</v>
      </c>
      <c r="P2212">
        <v>0.0</v>
      </c>
      <c r="Q2212">
        <v>3.5</v>
      </c>
      <c r="R2212"/>
      <c r="S2212"/>
      <c r="T2212"/>
      <c r="U2212"/>
      <c r="V2212"/>
      <c r="W2212">
        <v>18</v>
      </c>
    </row>
    <row r="2213" spans="1:23">
      <c r="A2213"/>
      <c r="B2213" t="s">
        <v>68</v>
      </c>
      <c r="C2213" t="s">
        <v>68</v>
      </c>
      <c r="D2213" t="s">
        <v>33</v>
      </c>
      <c r="E2213" t="s">
        <v>34</v>
      </c>
      <c r="F2213" t="str">
        <f>"0002522"</f>
        <v>0002522</v>
      </c>
      <c r="G2213">
        <v>1</v>
      </c>
      <c r="H2213" t="str">
        <f>"00000000"</f>
        <v>00000000</v>
      </c>
      <c r="I2213" t="s">
        <v>35</v>
      </c>
      <c r="J2213"/>
      <c r="K2213">
        <v>5.29</v>
      </c>
      <c r="L2213">
        <v>0.0</v>
      </c>
      <c r="M2213"/>
      <c r="N2213"/>
      <c r="O2213">
        <v>0.95</v>
      </c>
      <c r="P2213">
        <v>0.0</v>
      </c>
      <c r="Q2213">
        <v>6.24</v>
      </c>
      <c r="R2213"/>
      <c r="S2213"/>
      <c r="T2213"/>
      <c r="U2213"/>
      <c r="V2213"/>
      <c r="W2213">
        <v>18</v>
      </c>
    </row>
    <row r="2214" spans="1:23">
      <c r="A2214"/>
      <c r="B2214" t="s">
        <v>68</v>
      </c>
      <c r="C2214" t="s">
        <v>68</v>
      </c>
      <c r="D2214" t="s">
        <v>33</v>
      </c>
      <c r="E2214" t="s">
        <v>34</v>
      </c>
      <c r="F2214" t="str">
        <f>"0002523"</f>
        <v>0002523</v>
      </c>
      <c r="G2214">
        <v>1</v>
      </c>
      <c r="H2214" t="str">
        <f>"00000000"</f>
        <v>00000000</v>
      </c>
      <c r="I2214" t="s">
        <v>35</v>
      </c>
      <c r="J2214"/>
      <c r="K2214">
        <v>6.74</v>
      </c>
      <c r="L2214">
        <v>0.0</v>
      </c>
      <c r="M2214"/>
      <c r="N2214"/>
      <c r="O2214">
        <v>1.21</v>
      </c>
      <c r="P2214">
        <v>0.0</v>
      </c>
      <c r="Q2214">
        <v>7.95</v>
      </c>
      <c r="R2214"/>
      <c r="S2214"/>
      <c r="T2214"/>
      <c r="U2214"/>
      <c r="V2214"/>
      <c r="W2214">
        <v>18</v>
      </c>
    </row>
    <row r="2215" spans="1:23">
      <c r="A2215"/>
      <c r="B2215" t="s">
        <v>68</v>
      </c>
      <c r="C2215" t="s">
        <v>68</v>
      </c>
      <c r="D2215" t="s">
        <v>33</v>
      </c>
      <c r="E2215" t="s">
        <v>34</v>
      </c>
      <c r="F2215" t="str">
        <f>"0002524"</f>
        <v>0002524</v>
      </c>
      <c r="G2215">
        <v>1</v>
      </c>
      <c r="H2215" t="str">
        <f>"00000000"</f>
        <v>00000000</v>
      </c>
      <c r="I2215" t="s">
        <v>35</v>
      </c>
      <c r="J2215"/>
      <c r="K2215">
        <v>2.21</v>
      </c>
      <c r="L2215">
        <v>0.0</v>
      </c>
      <c r="M2215"/>
      <c r="N2215"/>
      <c r="O2215">
        <v>0.4</v>
      </c>
      <c r="P2215">
        <v>0.0</v>
      </c>
      <c r="Q2215">
        <v>2.61</v>
      </c>
      <c r="R2215"/>
      <c r="S2215"/>
      <c r="T2215"/>
      <c r="U2215"/>
      <c r="V2215"/>
      <c r="W2215">
        <v>18</v>
      </c>
    </row>
    <row r="2216" spans="1:23">
      <c r="A2216"/>
      <c r="B2216" t="s">
        <v>68</v>
      </c>
      <c r="C2216" t="s">
        <v>68</v>
      </c>
      <c r="D2216" t="s">
        <v>33</v>
      </c>
      <c r="E2216" t="s">
        <v>34</v>
      </c>
      <c r="F2216" t="str">
        <f>"0002525"</f>
        <v>0002525</v>
      </c>
      <c r="G2216">
        <v>1</v>
      </c>
      <c r="H2216" t="str">
        <f>"00000000"</f>
        <v>00000000</v>
      </c>
      <c r="I2216" t="s">
        <v>35</v>
      </c>
      <c r="J2216"/>
      <c r="K2216">
        <v>42.43</v>
      </c>
      <c r="L2216">
        <v>0.0</v>
      </c>
      <c r="M2216"/>
      <c r="N2216"/>
      <c r="O2216">
        <v>7.64</v>
      </c>
      <c r="P2216">
        <v>0.0</v>
      </c>
      <c r="Q2216">
        <v>50.07</v>
      </c>
      <c r="R2216"/>
      <c r="S2216"/>
      <c r="T2216"/>
      <c r="U2216"/>
      <c r="V2216"/>
      <c r="W2216">
        <v>18</v>
      </c>
    </row>
    <row r="2217" spans="1:23">
      <c r="A2217"/>
      <c r="B2217" t="s">
        <v>68</v>
      </c>
      <c r="C2217" t="s">
        <v>68</v>
      </c>
      <c r="D2217" t="s">
        <v>33</v>
      </c>
      <c r="E2217" t="s">
        <v>34</v>
      </c>
      <c r="F2217" t="str">
        <f>"0002526"</f>
        <v>0002526</v>
      </c>
      <c r="G2217">
        <v>1</v>
      </c>
      <c r="H2217" t="str">
        <f>"00000000"</f>
        <v>00000000</v>
      </c>
      <c r="I2217" t="s">
        <v>35</v>
      </c>
      <c r="J2217"/>
      <c r="K2217">
        <v>11.27</v>
      </c>
      <c r="L2217">
        <v>0.0</v>
      </c>
      <c r="M2217"/>
      <c r="N2217"/>
      <c r="O2217">
        <v>2.03</v>
      </c>
      <c r="P2217">
        <v>0.2</v>
      </c>
      <c r="Q2217">
        <v>13.5</v>
      </c>
      <c r="R2217"/>
      <c r="S2217"/>
      <c r="T2217"/>
      <c r="U2217"/>
      <c r="V2217"/>
      <c r="W2217">
        <v>18</v>
      </c>
    </row>
    <row r="2218" spans="1:23">
      <c r="A2218"/>
      <c r="B2218" t="s">
        <v>68</v>
      </c>
      <c r="C2218" t="s">
        <v>68</v>
      </c>
      <c r="D2218" t="s">
        <v>33</v>
      </c>
      <c r="E2218" t="s">
        <v>34</v>
      </c>
      <c r="F2218" t="str">
        <f>"0002527"</f>
        <v>0002527</v>
      </c>
      <c r="G2218">
        <v>1</v>
      </c>
      <c r="H2218" t="str">
        <f>"00000000"</f>
        <v>00000000</v>
      </c>
      <c r="I2218" t="s">
        <v>35</v>
      </c>
      <c r="J2218"/>
      <c r="K2218">
        <v>25.85</v>
      </c>
      <c r="L2218">
        <v>0.0</v>
      </c>
      <c r="M2218"/>
      <c r="N2218"/>
      <c r="O2218">
        <v>4.65</v>
      </c>
      <c r="P2218">
        <v>0.0</v>
      </c>
      <c r="Q2218">
        <v>30.5</v>
      </c>
      <c r="R2218"/>
      <c r="S2218"/>
      <c r="T2218"/>
      <c r="U2218"/>
      <c r="V2218"/>
      <c r="W2218">
        <v>18</v>
      </c>
    </row>
    <row r="2219" spans="1:23">
      <c r="A2219"/>
      <c r="B2219" t="s">
        <v>68</v>
      </c>
      <c r="C2219" t="s">
        <v>68</v>
      </c>
      <c r="D2219" t="s">
        <v>33</v>
      </c>
      <c r="E2219" t="s">
        <v>34</v>
      </c>
      <c r="F2219" t="str">
        <f>"0002528"</f>
        <v>0002528</v>
      </c>
      <c r="G2219">
        <v>1</v>
      </c>
      <c r="H2219" t="str">
        <f>"00000000"</f>
        <v>00000000</v>
      </c>
      <c r="I2219" t="s">
        <v>35</v>
      </c>
      <c r="J2219"/>
      <c r="K2219">
        <v>12.94</v>
      </c>
      <c r="L2219">
        <v>0.0</v>
      </c>
      <c r="M2219"/>
      <c r="N2219"/>
      <c r="O2219">
        <v>2.33</v>
      </c>
      <c r="P2219">
        <v>0.0</v>
      </c>
      <c r="Q2219">
        <v>15.27</v>
      </c>
      <c r="R2219"/>
      <c r="S2219"/>
      <c r="T2219"/>
      <c r="U2219"/>
      <c r="V2219"/>
      <c r="W2219">
        <v>18</v>
      </c>
    </row>
    <row r="2220" spans="1:23">
      <c r="A2220"/>
      <c r="B2220" t="s">
        <v>68</v>
      </c>
      <c r="C2220" t="s">
        <v>68</v>
      </c>
      <c r="D2220" t="s">
        <v>33</v>
      </c>
      <c r="E2220" t="s">
        <v>34</v>
      </c>
      <c r="F2220" t="str">
        <f>"0002529"</f>
        <v>0002529</v>
      </c>
      <c r="G2220">
        <v>1</v>
      </c>
      <c r="H2220" t="str">
        <f>"00000000"</f>
        <v>00000000</v>
      </c>
      <c r="I2220" t="s">
        <v>35</v>
      </c>
      <c r="J2220"/>
      <c r="K2220">
        <v>3.47</v>
      </c>
      <c r="L2220">
        <v>0.0</v>
      </c>
      <c r="M2220"/>
      <c r="N2220"/>
      <c r="O2220">
        <v>0.62</v>
      </c>
      <c r="P2220">
        <v>0.0</v>
      </c>
      <c r="Q2220">
        <v>4.09</v>
      </c>
      <c r="R2220"/>
      <c r="S2220"/>
      <c r="T2220"/>
      <c r="U2220"/>
      <c r="V2220"/>
      <c r="W2220">
        <v>18</v>
      </c>
    </row>
    <row r="2221" spans="1:23">
      <c r="A2221"/>
      <c r="B2221" t="s">
        <v>68</v>
      </c>
      <c r="C2221" t="s">
        <v>68</v>
      </c>
      <c r="D2221" t="s">
        <v>33</v>
      </c>
      <c r="E2221" t="s">
        <v>34</v>
      </c>
      <c r="F2221" t="str">
        <f>"0002530"</f>
        <v>0002530</v>
      </c>
      <c r="G2221">
        <v>1</v>
      </c>
      <c r="H2221" t="str">
        <f>"00000000"</f>
        <v>00000000</v>
      </c>
      <c r="I2221" t="s">
        <v>35</v>
      </c>
      <c r="J2221"/>
      <c r="K2221">
        <v>15.68</v>
      </c>
      <c r="L2221">
        <v>0.0</v>
      </c>
      <c r="M2221"/>
      <c r="N2221"/>
      <c r="O2221">
        <v>2.82</v>
      </c>
      <c r="P2221">
        <v>0.0</v>
      </c>
      <c r="Q2221">
        <v>18.5</v>
      </c>
      <c r="R2221"/>
      <c r="S2221"/>
      <c r="T2221"/>
      <c r="U2221"/>
      <c r="V2221"/>
      <c r="W2221">
        <v>18</v>
      </c>
    </row>
    <row r="2222" spans="1:23">
      <c r="A2222"/>
      <c r="B2222" t="s">
        <v>68</v>
      </c>
      <c r="C2222" t="s">
        <v>68</v>
      </c>
      <c r="D2222" t="s">
        <v>33</v>
      </c>
      <c r="E2222" t="s">
        <v>34</v>
      </c>
      <c r="F2222" t="str">
        <f>"0002531"</f>
        <v>0002531</v>
      </c>
      <c r="G2222">
        <v>1</v>
      </c>
      <c r="H2222" t="str">
        <f>"00000000"</f>
        <v>00000000</v>
      </c>
      <c r="I2222" t="s">
        <v>35</v>
      </c>
      <c r="J2222"/>
      <c r="K2222">
        <v>18.14</v>
      </c>
      <c r="L2222">
        <v>0.0</v>
      </c>
      <c r="M2222"/>
      <c r="N2222"/>
      <c r="O2222">
        <v>3.26</v>
      </c>
      <c r="P2222">
        <v>0.0</v>
      </c>
      <c r="Q2222">
        <v>21.4</v>
      </c>
      <c r="R2222"/>
      <c r="S2222"/>
      <c r="T2222"/>
      <c r="U2222"/>
      <c r="V2222"/>
      <c r="W2222">
        <v>18</v>
      </c>
    </row>
    <row r="2223" spans="1:23">
      <c r="A2223"/>
      <c r="B2223" t="s">
        <v>68</v>
      </c>
      <c r="C2223" t="s">
        <v>68</v>
      </c>
      <c r="D2223" t="s">
        <v>33</v>
      </c>
      <c r="E2223" t="s">
        <v>34</v>
      </c>
      <c r="F2223" t="str">
        <f>"0002532"</f>
        <v>0002532</v>
      </c>
      <c r="G2223">
        <v>1</v>
      </c>
      <c r="H2223" t="str">
        <f>"00000000"</f>
        <v>00000000</v>
      </c>
      <c r="I2223" t="s">
        <v>35</v>
      </c>
      <c r="J2223"/>
      <c r="K2223">
        <v>11.81</v>
      </c>
      <c r="L2223">
        <v>0.0</v>
      </c>
      <c r="M2223"/>
      <c r="N2223"/>
      <c r="O2223">
        <v>2.13</v>
      </c>
      <c r="P2223">
        <v>0.0</v>
      </c>
      <c r="Q2223">
        <v>13.94</v>
      </c>
      <c r="R2223"/>
      <c r="S2223"/>
      <c r="T2223"/>
      <c r="U2223"/>
      <c r="V2223"/>
      <c r="W2223">
        <v>18</v>
      </c>
    </row>
    <row r="2224" spans="1:23">
      <c r="A2224"/>
      <c r="B2224" t="s">
        <v>68</v>
      </c>
      <c r="C2224" t="s">
        <v>68</v>
      </c>
      <c r="D2224" t="s">
        <v>33</v>
      </c>
      <c r="E2224" t="s">
        <v>34</v>
      </c>
      <c r="F2224" t="str">
        <f>"0002533"</f>
        <v>0002533</v>
      </c>
      <c r="G2224">
        <v>1</v>
      </c>
      <c r="H2224" t="str">
        <f>"00000000"</f>
        <v>00000000</v>
      </c>
      <c r="I2224" t="s">
        <v>35</v>
      </c>
      <c r="J2224"/>
      <c r="K2224">
        <v>1.53</v>
      </c>
      <c r="L2224">
        <v>0.0</v>
      </c>
      <c r="M2224"/>
      <c r="N2224"/>
      <c r="O2224">
        <v>0.27</v>
      </c>
      <c r="P2224">
        <v>0.0</v>
      </c>
      <c r="Q2224">
        <v>1.8</v>
      </c>
      <c r="R2224"/>
      <c r="S2224"/>
      <c r="T2224"/>
      <c r="U2224"/>
      <c r="V2224"/>
      <c r="W2224">
        <v>18</v>
      </c>
    </row>
    <row r="2225" spans="1:23">
      <c r="A2225"/>
      <c r="B2225" t="s">
        <v>68</v>
      </c>
      <c r="C2225" t="s">
        <v>68</v>
      </c>
      <c r="D2225" t="s">
        <v>33</v>
      </c>
      <c r="E2225" t="s">
        <v>34</v>
      </c>
      <c r="F2225" t="str">
        <f>"0002534"</f>
        <v>0002534</v>
      </c>
      <c r="G2225">
        <v>1</v>
      </c>
      <c r="H2225" t="str">
        <f>"00000000"</f>
        <v>00000000</v>
      </c>
      <c r="I2225" t="s">
        <v>35</v>
      </c>
      <c r="J2225"/>
      <c r="K2225">
        <v>1.61</v>
      </c>
      <c r="L2225">
        <v>0.0</v>
      </c>
      <c r="M2225"/>
      <c r="N2225"/>
      <c r="O2225">
        <v>0.29</v>
      </c>
      <c r="P2225">
        <v>0.0</v>
      </c>
      <c r="Q2225">
        <v>1.9</v>
      </c>
      <c r="R2225"/>
      <c r="S2225"/>
      <c r="T2225"/>
      <c r="U2225"/>
      <c r="V2225"/>
      <c r="W2225">
        <v>18</v>
      </c>
    </row>
    <row r="2226" spans="1:23">
      <c r="A2226"/>
      <c r="B2226" t="s">
        <v>68</v>
      </c>
      <c r="C2226" t="s">
        <v>68</v>
      </c>
      <c r="D2226" t="s">
        <v>33</v>
      </c>
      <c r="E2226" t="s">
        <v>34</v>
      </c>
      <c r="F2226" t="str">
        <f>"0002535"</f>
        <v>0002535</v>
      </c>
      <c r="G2226">
        <v>1</v>
      </c>
      <c r="H2226" t="str">
        <f>"00000000"</f>
        <v>00000000</v>
      </c>
      <c r="I2226" t="s">
        <v>35</v>
      </c>
      <c r="J2226"/>
      <c r="K2226">
        <v>1.44</v>
      </c>
      <c r="L2226">
        <v>0.0</v>
      </c>
      <c r="M2226"/>
      <c r="N2226"/>
      <c r="O2226">
        <v>0.26</v>
      </c>
      <c r="P2226">
        <v>0.0</v>
      </c>
      <c r="Q2226">
        <v>1.71</v>
      </c>
      <c r="R2226"/>
      <c r="S2226"/>
      <c r="T2226"/>
      <c r="U2226"/>
      <c r="V2226"/>
      <c r="W2226">
        <v>18</v>
      </c>
    </row>
    <row r="2227" spans="1:23">
      <c r="A2227"/>
      <c r="B2227" t="s">
        <v>68</v>
      </c>
      <c r="C2227" t="s">
        <v>68</v>
      </c>
      <c r="D2227" t="s">
        <v>33</v>
      </c>
      <c r="E2227" t="s">
        <v>34</v>
      </c>
      <c r="F2227" t="str">
        <f>"0002536"</f>
        <v>0002536</v>
      </c>
      <c r="G2227">
        <v>1</v>
      </c>
      <c r="H2227" t="str">
        <f>"00000000"</f>
        <v>00000000</v>
      </c>
      <c r="I2227" t="s">
        <v>35</v>
      </c>
      <c r="J2227"/>
      <c r="K2227">
        <v>58.68</v>
      </c>
      <c r="L2227">
        <v>0.0</v>
      </c>
      <c r="M2227"/>
      <c r="N2227"/>
      <c r="O2227">
        <v>10.56</v>
      </c>
      <c r="P2227">
        <v>0.4</v>
      </c>
      <c r="Q2227">
        <v>69.65</v>
      </c>
      <c r="R2227"/>
      <c r="S2227"/>
      <c r="T2227"/>
      <c r="U2227"/>
      <c r="V2227"/>
      <c r="W2227">
        <v>18</v>
      </c>
    </row>
    <row r="2228" spans="1:23">
      <c r="A2228"/>
      <c r="B2228" t="s">
        <v>68</v>
      </c>
      <c r="C2228" t="s">
        <v>68</v>
      </c>
      <c r="D2228" t="s">
        <v>33</v>
      </c>
      <c r="E2228" t="s">
        <v>34</v>
      </c>
      <c r="F2228" t="str">
        <f>"0002537"</f>
        <v>0002537</v>
      </c>
      <c r="G2228">
        <v>1</v>
      </c>
      <c r="H2228" t="str">
        <f>"00000000"</f>
        <v>00000000</v>
      </c>
      <c r="I2228" t="s">
        <v>35</v>
      </c>
      <c r="J2228"/>
      <c r="K2228">
        <v>8.47</v>
      </c>
      <c r="L2228">
        <v>0.0</v>
      </c>
      <c r="M2228"/>
      <c r="N2228"/>
      <c r="O2228">
        <v>1.53</v>
      </c>
      <c r="P2228">
        <v>0.0</v>
      </c>
      <c r="Q2228">
        <v>10.0</v>
      </c>
      <c r="R2228"/>
      <c r="S2228"/>
      <c r="T2228"/>
      <c r="U2228"/>
      <c r="V2228"/>
      <c r="W2228">
        <v>18</v>
      </c>
    </row>
    <row r="2229" spans="1:23">
      <c r="A2229"/>
      <c r="B2229" t="s">
        <v>68</v>
      </c>
      <c r="C2229" t="s">
        <v>68</v>
      </c>
      <c r="D2229" t="s">
        <v>33</v>
      </c>
      <c r="E2229" t="s">
        <v>34</v>
      </c>
      <c r="F2229" t="str">
        <f>"0002538"</f>
        <v>0002538</v>
      </c>
      <c r="G2229">
        <v>1</v>
      </c>
      <c r="H2229" t="str">
        <f>"00000000"</f>
        <v>00000000</v>
      </c>
      <c r="I2229" t="s">
        <v>35</v>
      </c>
      <c r="J2229"/>
      <c r="K2229">
        <v>0.02</v>
      </c>
      <c r="L2229">
        <v>0.0</v>
      </c>
      <c r="M2229"/>
      <c r="N2229"/>
      <c r="O2229">
        <v>0.0</v>
      </c>
      <c r="P2229">
        <v>0.2</v>
      </c>
      <c r="Q2229">
        <v>0.22</v>
      </c>
      <c r="R2229"/>
      <c r="S2229"/>
      <c r="T2229"/>
      <c r="U2229"/>
      <c r="V2229"/>
      <c r="W2229">
        <v>18</v>
      </c>
    </row>
    <row r="2230" spans="1:23">
      <c r="A2230"/>
      <c r="B2230" t="s">
        <v>68</v>
      </c>
      <c r="C2230" t="s">
        <v>68</v>
      </c>
      <c r="D2230" t="s">
        <v>33</v>
      </c>
      <c r="E2230" t="s">
        <v>34</v>
      </c>
      <c r="F2230" t="str">
        <f>"0002539"</f>
        <v>0002539</v>
      </c>
      <c r="G2230">
        <v>1</v>
      </c>
      <c r="H2230" t="str">
        <f>"00000000"</f>
        <v>00000000</v>
      </c>
      <c r="I2230" t="s">
        <v>35</v>
      </c>
      <c r="J2230"/>
      <c r="K2230">
        <v>14.23</v>
      </c>
      <c r="L2230">
        <v>0.0</v>
      </c>
      <c r="M2230"/>
      <c r="N2230"/>
      <c r="O2230">
        <v>2.56</v>
      </c>
      <c r="P2230">
        <v>0.0</v>
      </c>
      <c r="Q2230">
        <v>16.79</v>
      </c>
      <c r="R2230"/>
      <c r="S2230"/>
      <c r="T2230"/>
      <c r="U2230"/>
      <c r="V2230"/>
      <c r="W2230">
        <v>18</v>
      </c>
    </row>
    <row r="2231" spans="1:23">
      <c r="A2231"/>
      <c r="B2231" t="s">
        <v>68</v>
      </c>
      <c r="C2231" t="s">
        <v>68</v>
      </c>
      <c r="D2231" t="s">
        <v>33</v>
      </c>
      <c r="E2231" t="s">
        <v>34</v>
      </c>
      <c r="F2231" t="str">
        <f>"0002540"</f>
        <v>0002540</v>
      </c>
      <c r="G2231">
        <v>1</v>
      </c>
      <c r="H2231" t="str">
        <f>"00000000"</f>
        <v>00000000</v>
      </c>
      <c r="I2231" t="s">
        <v>35</v>
      </c>
      <c r="J2231"/>
      <c r="K2231">
        <v>17.82</v>
      </c>
      <c r="L2231">
        <v>0.0</v>
      </c>
      <c r="M2231"/>
      <c r="N2231"/>
      <c r="O2231">
        <v>3.21</v>
      </c>
      <c r="P2231">
        <v>0.2</v>
      </c>
      <c r="Q2231">
        <v>21.23</v>
      </c>
      <c r="R2231"/>
      <c r="S2231"/>
      <c r="T2231"/>
      <c r="U2231"/>
      <c r="V2231"/>
      <c r="W2231">
        <v>18</v>
      </c>
    </row>
    <row r="2232" spans="1:23">
      <c r="A2232"/>
      <c r="B2232" t="s">
        <v>68</v>
      </c>
      <c r="C2232" t="s">
        <v>68</v>
      </c>
      <c r="D2232" t="s">
        <v>33</v>
      </c>
      <c r="E2232" t="s">
        <v>34</v>
      </c>
      <c r="F2232" t="str">
        <f>"0002541"</f>
        <v>0002541</v>
      </c>
      <c r="G2232">
        <v>1</v>
      </c>
      <c r="H2232" t="str">
        <f>"00000000"</f>
        <v>00000000</v>
      </c>
      <c r="I2232" t="s">
        <v>35</v>
      </c>
      <c r="J2232"/>
      <c r="K2232">
        <v>6.44</v>
      </c>
      <c r="L2232">
        <v>0.0</v>
      </c>
      <c r="M2232"/>
      <c r="N2232"/>
      <c r="O2232">
        <v>1.16</v>
      </c>
      <c r="P2232">
        <v>0.0</v>
      </c>
      <c r="Q2232">
        <v>7.6</v>
      </c>
      <c r="R2232"/>
      <c r="S2232"/>
      <c r="T2232"/>
      <c r="U2232"/>
      <c r="V2232"/>
      <c r="W2232">
        <v>18</v>
      </c>
    </row>
    <row r="2233" spans="1:23">
      <c r="A2233"/>
      <c r="B2233" t="s">
        <v>68</v>
      </c>
      <c r="C2233" t="s">
        <v>68</v>
      </c>
      <c r="D2233" t="s">
        <v>33</v>
      </c>
      <c r="E2233" t="s">
        <v>34</v>
      </c>
      <c r="F2233" t="str">
        <f>"0002542"</f>
        <v>0002542</v>
      </c>
      <c r="G2233">
        <v>1</v>
      </c>
      <c r="H2233" t="str">
        <f>"00000000"</f>
        <v>00000000</v>
      </c>
      <c r="I2233" t="s">
        <v>35</v>
      </c>
      <c r="J2233"/>
      <c r="K2233">
        <v>16.71</v>
      </c>
      <c r="L2233">
        <v>0.0</v>
      </c>
      <c r="M2233"/>
      <c r="N2233"/>
      <c r="O2233">
        <v>3.01</v>
      </c>
      <c r="P2233">
        <v>0.2</v>
      </c>
      <c r="Q2233">
        <v>19.92</v>
      </c>
      <c r="R2233"/>
      <c r="S2233"/>
      <c r="T2233"/>
      <c r="U2233"/>
      <c r="V2233"/>
      <c r="W2233">
        <v>18</v>
      </c>
    </row>
    <row r="2234" spans="1:23">
      <c r="A2234"/>
      <c r="B2234" t="s">
        <v>68</v>
      </c>
      <c r="C2234" t="s">
        <v>68</v>
      </c>
      <c r="D2234" t="s">
        <v>33</v>
      </c>
      <c r="E2234" t="s">
        <v>34</v>
      </c>
      <c r="F2234" t="str">
        <f>"0002543"</f>
        <v>0002543</v>
      </c>
      <c r="G2234">
        <v>1</v>
      </c>
      <c r="H2234" t="str">
        <f>"00000000"</f>
        <v>00000000</v>
      </c>
      <c r="I2234" t="s">
        <v>35</v>
      </c>
      <c r="J2234"/>
      <c r="K2234">
        <v>1.1</v>
      </c>
      <c r="L2234">
        <v>0.0</v>
      </c>
      <c r="M2234"/>
      <c r="N2234"/>
      <c r="O2234">
        <v>0.2</v>
      </c>
      <c r="P2234">
        <v>0.0</v>
      </c>
      <c r="Q2234">
        <v>1.3</v>
      </c>
      <c r="R2234"/>
      <c r="S2234"/>
      <c r="T2234"/>
      <c r="U2234"/>
      <c r="V2234"/>
      <c r="W2234">
        <v>18</v>
      </c>
    </row>
    <row r="2235" spans="1:23">
      <c r="A2235"/>
      <c r="B2235" t="s">
        <v>68</v>
      </c>
      <c r="C2235" t="s">
        <v>68</v>
      </c>
      <c r="D2235" t="s">
        <v>33</v>
      </c>
      <c r="E2235" t="s">
        <v>34</v>
      </c>
      <c r="F2235" t="str">
        <f>"0002544"</f>
        <v>0002544</v>
      </c>
      <c r="G2235">
        <v>1</v>
      </c>
      <c r="H2235" t="str">
        <f>"00000000"</f>
        <v>00000000</v>
      </c>
      <c r="I2235" t="s">
        <v>35</v>
      </c>
      <c r="J2235"/>
      <c r="K2235">
        <v>19.83</v>
      </c>
      <c r="L2235">
        <v>0.0</v>
      </c>
      <c r="M2235"/>
      <c r="N2235"/>
      <c r="O2235">
        <v>3.57</v>
      </c>
      <c r="P2235">
        <v>0.0</v>
      </c>
      <c r="Q2235">
        <v>23.4</v>
      </c>
      <c r="R2235"/>
      <c r="S2235"/>
      <c r="T2235"/>
      <c r="U2235"/>
      <c r="V2235"/>
      <c r="W2235">
        <v>18</v>
      </c>
    </row>
    <row r="2236" spans="1:23">
      <c r="A2236"/>
      <c r="B2236" t="s">
        <v>68</v>
      </c>
      <c r="C2236" t="s">
        <v>68</v>
      </c>
      <c r="D2236" t="s">
        <v>33</v>
      </c>
      <c r="E2236" t="s">
        <v>34</v>
      </c>
      <c r="F2236" t="str">
        <f>"0002545"</f>
        <v>0002545</v>
      </c>
      <c r="G2236">
        <v>1</v>
      </c>
      <c r="H2236" t="str">
        <f>"00000000"</f>
        <v>00000000</v>
      </c>
      <c r="I2236" t="s">
        <v>35</v>
      </c>
      <c r="J2236"/>
      <c r="K2236">
        <v>5.08</v>
      </c>
      <c r="L2236">
        <v>0.0</v>
      </c>
      <c r="M2236"/>
      <c r="N2236"/>
      <c r="O2236">
        <v>0.92</v>
      </c>
      <c r="P2236">
        <v>0.0</v>
      </c>
      <c r="Q2236">
        <v>6.0</v>
      </c>
      <c r="R2236"/>
      <c r="S2236"/>
      <c r="T2236"/>
      <c r="U2236"/>
      <c r="V2236"/>
      <c r="W2236">
        <v>18</v>
      </c>
    </row>
    <row r="2237" spans="1:23">
      <c r="A2237"/>
      <c r="B2237" t="s">
        <v>68</v>
      </c>
      <c r="C2237" t="s">
        <v>68</v>
      </c>
      <c r="D2237" t="s">
        <v>33</v>
      </c>
      <c r="E2237" t="s">
        <v>34</v>
      </c>
      <c r="F2237" t="str">
        <f>"0002546"</f>
        <v>0002546</v>
      </c>
      <c r="G2237">
        <v>1</v>
      </c>
      <c r="H2237" t="str">
        <f>"00000000"</f>
        <v>00000000</v>
      </c>
      <c r="I2237" t="s">
        <v>35</v>
      </c>
      <c r="J2237"/>
      <c r="K2237">
        <v>5.25</v>
      </c>
      <c r="L2237">
        <v>0.0</v>
      </c>
      <c r="M2237"/>
      <c r="N2237"/>
      <c r="O2237">
        <v>0.95</v>
      </c>
      <c r="P2237">
        <v>0.0</v>
      </c>
      <c r="Q2237">
        <v>6.2</v>
      </c>
      <c r="R2237"/>
      <c r="S2237"/>
      <c r="T2237"/>
      <c r="U2237"/>
      <c r="V2237"/>
      <c r="W2237">
        <v>18</v>
      </c>
    </row>
    <row r="2238" spans="1:23">
      <c r="A2238"/>
      <c r="B2238" t="s">
        <v>68</v>
      </c>
      <c r="C2238" t="s">
        <v>68</v>
      </c>
      <c r="D2238" t="s">
        <v>33</v>
      </c>
      <c r="E2238" t="s">
        <v>34</v>
      </c>
      <c r="F2238" t="str">
        <f>"0002547"</f>
        <v>0002547</v>
      </c>
      <c r="G2238">
        <v>1</v>
      </c>
      <c r="H2238" t="str">
        <f>"00000000"</f>
        <v>00000000</v>
      </c>
      <c r="I2238" t="s">
        <v>35</v>
      </c>
      <c r="J2238"/>
      <c r="K2238">
        <v>7.67</v>
      </c>
      <c r="L2238">
        <v>0.0</v>
      </c>
      <c r="M2238"/>
      <c r="N2238"/>
      <c r="O2238">
        <v>1.38</v>
      </c>
      <c r="P2238">
        <v>0.0</v>
      </c>
      <c r="Q2238">
        <v>9.05</v>
      </c>
      <c r="R2238"/>
      <c r="S2238"/>
      <c r="T2238"/>
      <c r="U2238"/>
      <c r="V2238"/>
      <c r="W2238">
        <v>18</v>
      </c>
    </row>
    <row r="2239" spans="1:23">
      <c r="A2239"/>
      <c r="B2239" t="s">
        <v>68</v>
      </c>
      <c r="C2239" t="s">
        <v>68</v>
      </c>
      <c r="D2239" t="s">
        <v>33</v>
      </c>
      <c r="E2239" t="s">
        <v>34</v>
      </c>
      <c r="F2239" t="str">
        <f>"0002548"</f>
        <v>0002548</v>
      </c>
      <c r="G2239">
        <v>1</v>
      </c>
      <c r="H2239" t="str">
        <f>"00000000"</f>
        <v>00000000</v>
      </c>
      <c r="I2239" t="s">
        <v>35</v>
      </c>
      <c r="J2239"/>
      <c r="K2239">
        <v>58.49</v>
      </c>
      <c r="L2239">
        <v>0.0</v>
      </c>
      <c r="M2239"/>
      <c r="N2239"/>
      <c r="O2239">
        <v>10.53</v>
      </c>
      <c r="P2239">
        <v>0.2</v>
      </c>
      <c r="Q2239">
        <v>69.22</v>
      </c>
      <c r="R2239"/>
      <c r="S2239"/>
      <c r="T2239"/>
      <c r="U2239"/>
      <c r="V2239"/>
      <c r="W2239">
        <v>18</v>
      </c>
    </row>
    <row r="2240" spans="1:23">
      <c r="A2240"/>
      <c r="B2240" t="s">
        <v>68</v>
      </c>
      <c r="C2240" t="s">
        <v>68</v>
      </c>
      <c r="D2240" t="s">
        <v>33</v>
      </c>
      <c r="E2240" t="s">
        <v>34</v>
      </c>
      <c r="F2240" t="str">
        <f>"0002549"</f>
        <v>0002549</v>
      </c>
      <c r="G2240">
        <v>1</v>
      </c>
      <c r="H2240" t="str">
        <f>"00000000"</f>
        <v>00000000</v>
      </c>
      <c r="I2240" t="s">
        <v>35</v>
      </c>
      <c r="J2240"/>
      <c r="K2240">
        <v>0.42</v>
      </c>
      <c r="L2240">
        <v>0.0</v>
      </c>
      <c r="M2240"/>
      <c r="N2240"/>
      <c r="O2240">
        <v>0.08</v>
      </c>
      <c r="P2240">
        <v>0.0</v>
      </c>
      <c r="Q2240">
        <v>0.5</v>
      </c>
      <c r="R2240"/>
      <c r="S2240"/>
      <c r="T2240"/>
      <c r="U2240"/>
      <c r="V2240"/>
      <c r="W2240">
        <v>18</v>
      </c>
    </row>
    <row r="2241" spans="1:23">
      <c r="A2241"/>
      <c r="B2241" t="s">
        <v>68</v>
      </c>
      <c r="C2241" t="s">
        <v>68</v>
      </c>
      <c r="D2241" t="s">
        <v>33</v>
      </c>
      <c r="E2241" t="s">
        <v>34</v>
      </c>
      <c r="F2241" t="str">
        <f>"0002550"</f>
        <v>0002550</v>
      </c>
      <c r="G2241">
        <v>1</v>
      </c>
      <c r="H2241" t="str">
        <f>"00000000"</f>
        <v>00000000</v>
      </c>
      <c r="I2241" t="s">
        <v>35</v>
      </c>
      <c r="J2241"/>
      <c r="K2241">
        <v>2.97</v>
      </c>
      <c r="L2241">
        <v>0.0</v>
      </c>
      <c r="M2241"/>
      <c r="N2241"/>
      <c r="O2241">
        <v>0.53</v>
      </c>
      <c r="P2241">
        <v>0.0</v>
      </c>
      <c r="Q2241">
        <v>3.5</v>
      </c>
      <c r="R2241"/>
      <c r="S2241"/>
      <c r="T2241"/>
      <c r="U2241"/>
      <c r="V2241"/>
      <c r="W2241">
        <v>18</v>
      </c>
    </row>
    <row r="2242" spans="1:23">
      <c r="A2242"/>
      <c r="B2242" t="s">
        <v>68</v>
      </c>
      <c r="C2242" t="s">
        <v>68</v>
      </c>
      <c r="D2242" t="s">
        <v>33</v>
      </c>
      <c r="E2242" t="s">
        <v>34</v>
      </c>
      <c r="F2242" t="str">
        <f>"0002551"</f>
        <v>0002551</v>
      </c>
      <c r="G2242">
        <v>1</v>
      </c>
      <c r="H2242" t="str">
        <f>"00000000"</f>
        <v>00000000</v>
      </c>
      <c r="I2242" t="s">
        <v>35</v>
      </c>
      <c r="J2242"/>
      <c r="K2242">
        <v>6.69</v>
      </c>
      <c r="L2242">
        <v>0.0</v>
      </c>
      <c r="M2242"/>
      <c r="N2242"/>
      <c r="O2242">
        <v>1.2</v>
      </c>
      <c r="P2242">
        <v>0.0</v>
      </c>
      <c r="Q2242">
        <v>7.89</v>
      </c>
      <c r="R2242"/>
      <c r="S2242"/>
      <c r="T2242"/>
      <c r="U2242"/>
      <c r="V2242"/>
      <c r="W2242">
        <v>18</v>
      </c>
    </row>
    <row r="2243" spans="1:23">
      <c r="A2243"/>
      <c r="B2243" t="s">
        <v>68</v>
      </c>
      <c r="C2243" t="s">
        <v>68</v>
      </c>
      <c r="D2243" t="s">
        <v>33</v>
      </c>
      <c r="E2243" t="s">
        <v>34</v>
      </c>
      <c r="F2243" t="str">
        <f>"0002552"</f>
        <v>0002552</v>
      </c>
      <c r="G2243">
        <v>1</v>
      </c>
      <c r="H2243" t="str">
        <f>"00000000"</f>
        <v>00000000</v>
      </c>
      <c r="I2243" t="s">
        <v>35</v>
      </c>
      <c r="J2243"/>
      <c r="K2243">
        <v>5.07</v>
      </c>
      <c r="L2243">
        <v>0.0</v>
      </c>
      <c r="M2243"/>
      <c r="N2243"/>
      <c r="O2243">
        <v>0.91</v>
      </c>
      <c r="P2243">
        <v>0.0</v>
      </c>
      <c r="Q2243">
        <v>5.98</v>
      </c>
      <c r="R2243"/>
      <c r="S2243"/>
      <c r="T2243"/>
      <c r="U2243"/>
      <c r="V2243"/>
      <c r="W2243">
        <v>18</v>
      </c>
    </row>
    <row r="2244" spans="1:23">
      <c r="A2244"/>
      <c r="B2244" t="s">
        <v>68</v>
      </c>
      <c r="C2244" t="s">
        <v>68</v>
      </c>
      <c r="D2244" t="s">
        <v>33</v>
      </c>
      <c r="E2244" t="s">
        <v>34</v>
      </c>
      <c r="F2244" t="str">
        <f>"0002553"</f>
        <v>0002553</v>
      </c>
      <c r="G2244">
        <v>1</v>
      </c>
      <c r="H2244" t="str">
        <f>"00000000"</f>
        <v>00000000</v>
      </c>
      <c r="I2244" t="s">
        <v>35</v>
      </c>
      <c r="J2244"/>
      <c r="K2244">
        <v>15.96</v>
      </c>
      <c r="L2244">
        <v>0.0</v>
      </c>
      <c r="M2244"/>
      <c r="N2244"/>
      <c r="O2244">
        <v>2.87</v>
      </c>
      <c r="P2244">
        <v>0.2</v>
      </c>
      <c r="Q2244">
        <v>19.04</v>
      </c>
      <c r="R2244"/>
      <c r="S2244"/>
      <c r="T2244"/>
      <c r="U2244"/>
      <c r="V2244"/>
      <c r="W2244">
        <v>18</v>
      </c>
    </row>
    <row r="2245" spans="1:23">
      <c r="A2245"/>
      <c r="B2245" t="s">
        <v>68</v>
      </c>
      <c r="C2245" t="s">
        <v>68</v>
      </c>
      <c r="D2245" t="s">
        <v>33</v>
      </c>
      <c r="E2245" t="s">
        <v>34</v>
      </c>
      <c r="F2245" t="str">
        <f>"0002554"</f>
        <v>0002554</v>
      </c>
      <c r="G2245">
        <v>1</v>
      </c>
      <c r="H2245" t="str">
        <f>"00000000"</f>
        <v>00000000</v>
      </c>
      <c r="I2245" t="s">
        <v>35</v>
      </c>
      <c r="J2245"/>
      <c r="K2245">
        <v>7.69</v>
      </c>
      <c r="L2245">
        <v>0.0</v>
      </c>
      <c r="M2245"/>
      <c r="N2245"/>
      <c r="O2245">
        <v>1.38</v>
      </c>
      <c r="P2245">
        <v>0.0</v>
      </c>
      <c r="Q2245">
        <v>9.07</v>
      </c>
      <c r="R2245"/>
      <c r="S2245"/>
      <c r="T2245"/>
      <c r="U2245"/>
      <c r="V2245"/>
      <c r="W2245">
        <v>18</v>
      </c>
    </row>
    <row r="2246" spans="1:23">
      <c r="A2246"/>
      <c r="B2246" t="s">
        <v>68</v>
      </c>
      <c r="C2246" t="s">
        <v>68</v>
      </c>
      <c r="D2246" t="s">
        <v>33</v>
      </c>
      <c r="E2246" t="s">
        <v>34</v>
      </c>
      <c r="F2246" t="str">
        <f>"0002555"</f>
        <v>0002555</v>
      </c>
      <c r="G2246">
        <v>1</v>
      </c>
      <c r="H2246" t="str">
        <f>"00000000"</f>
        <v>00000000</v>
      </c>
      <c r="I2246" t="s">
        <v>35</v>
      </c>
      <c r="J2246"/>
      <c r="K2246">
        <v>1.86</v>
      </c>
      <c r="L2246">
        <v>0.0</v>
      </c>
      <c r="M2246"/>
      <c r="N2246"/>
      <c r="O2246">
        <v>0.34</v>
      </c>
      <c r="P2246">
        <v>0.0</v>
      </c>
      <c r="Q2246">
        <v>2.2</v>
      </c>
      <c r="R2246"/>
      <c r="S2246"/>
      <c r="T2246"/>
      <c r="U2246"/>
      <c r="V2246"/>
      <c r="W2246">
        <v>18</v>
      </c>
    </row>
    <row r="2247" spans="1:23">
      <c r="A2247"/>
      <c r="B2247" t="s">
        <v>68</v>
      </c>
      <c r="C2247" t="s">
        <v>68</v>
      </c>
      <c r="D2247" t="s">
        <v>33</v>
      </c>
      <c r="E2247" t="s">
        <v>34</v>
      </c>
      <c r="F2247" t="str">
        <f>"0002556"</f>
        <v>0002556</v>
      </c>
      <c r="G2247">
        <v>1</v>
      </c>
      <c r="H2247" t="str">
        <f>"00000000"</f>
        <v>00000000</v>
      </c>
      <c r="I2247" t="s">
        <v>35</v>
      </c>
      <c r="J2247"/>
      <c r="K2247">
        <v>5.08</v>
      </c>
      <c r="L2247">
        <v>0.0</v>
      </c>
      <c r="M2247"/>
      <c r="N2247"/>
      <c r="O2247">
        <v>0.92</v>
      </c>
      <c r="P2247">
        <v>0.0</v>
      </c>
      <c r="Q2247">
        <v>6.0</v>
      </c>
      <c r="R2247"/>
      <c r="S2247"/>
      <c r="T2247"/>
      <c r="U2247"/>
      <c r="V2247"/>
      <c r="W2247">
        <v>18</v>
      </c>
    </row>
    <row r="2248" spans="1:23">
      <c r="A2248"/>
      <c r="B2248" t="s">
        <v>68</v>
      </c>
      <c r="C2248" t="s">
        <v>68</v>
      </c>
      <c r="D2248" t="s">
        <v>33</v>
      </c>
      <c r="E2248" t="s">
        <v>34</v>
      </c>
      <c r="F2248" t="str">
        <f>"0002557"</f>
        <v>0002557</v>
      </c>
      <c r="G2248">
        <v>1</v>
      </c>
      <c r="H2248" t="str">
        <f>"00000000"</f>
        <v>00000000</v>
      </c>
      <c r="I2248" t="s">
        <v>35</v>
      </c>
      <c r="J2248"/>
      <c r="K2248">
        <v>1.2</v>
      </c>
      <c r="L2248">
        <v>0.0</v>
      </c>
      <c r="M2248"/>
      <c r="N2248"/>
      <c r="O2248">
        <v>0.22</v>
      </c>
      <c r="P2248">
        <v>0.0</v>
      </c>
      <c r="Q2248">
        <v>1.42</v>
      </c>
      <c r="R2248"/>
      <c r="S2248"/>
      <c r="T2248"/>
      <c r="U2248"/>
      <c r="V2248"/>
      <c r="W2248">
        <v>18</v>
      </c>
    </row>
    <row r="2249" spans="1:23">
      <c r="A2249"/>
      <c r="B2249" t="s">
        <v>68</v>
      </c>
      <c r="C2249" t="s">
        <v>68</v>
      </c>
      <c r="D2249" t="s">
        <v>33</v>
      </c>
      <c r="E2249" t="s">
        <v>34</v>
      </c>
      <c r="F2249" t="str">
        <f>"0002558"</f>
        <v>0002558</v>
      </c>
      <c r="G2249">
        <v>1</v>
      </c>
      <c r="H2249" t="str">
        <f>"00000000"</f>
        <v>00000000</v>
      </c>
      <c r="I2249" t="s">
        <v>35</v>
      </c>
      <c r="J2249"/>
      <c r="K2249">
        <v>5.78</v>
      </c>
      <c r="L2249">
        <v>0.0</v>
      </c>
      <c r="M2249"/>
      <c r="N2249"/>
      <c r="O2249">
        <v>1.04</v>
      </c>
      <c r="P2249">
        <v>0.0</v>
      </c>
      <c r="Q2249">
        <v>6.82</v>
      </c>
      <c r="R2249"/>
      <c r="S2249"/>
      <c r="T2249"/>
      <c r="U2249"/>
      <c r="V2249"/>
      <c r="W2249">
        <v>18</v>
      </c>
    </row>
    <row r="2250" spans="1:23">
      <c r="A2250"/>
      <c r="B2250" t="s">
        <v>68</v>
      </c>
      <c r="C2250" t="s">
        <v>68</v>
      </c>
      <c r="D2250" t="s">
        <v>33</v>
      </c>
      <c r="E2250" t="s">
        <v>34</v>
      </c>
      <c r="F2250" t="str">
        <f>"0002559"</f>
        <v>0002559</v>
      </c>
      <c r="G2250">
        <v>1</v>
      </c>
      <c r="H2250" t="str">
        <f>"00000000"</f>
        <v>00000000</v>
      </c>
      <c r="I2250" t="s">
        <v>35</v>
      </c>
      <c r="J2250"/>
      <c r="K2250">
        <v>49.42</v>
      </c>
      <c r="L2250">
        <v>0.0</v>
      </c>
      <c r="M2250"/>
      <c r="N2250"/>
      <c r="O2250">
        <v>8.9</v>
      </c>
      <c r="P2250">
        <v>0.2</v>
      </c>
      <c r="Q2250">
        <v>58.52</v>
      </c>
      <c r="R2250"/>
      <c r="S2250"/>
      <c r="T2250"/>
      <c r="U2250"/>
      <c r="V2250"/>
      <c r="W2250">
        <v>18</v>
      </c>
    </row>
    <row r="2251" spans="1:23">
      <c r="A2251"/>
      <c r="B2251" t="s">
        <v>68</v>
      </c>
      <c r="C2251" t="s">
        <v>68</v>
      </c>
      <c r="D2251" t="s">
        <v>33</v>
      </c>
      <c r="E2251" t="s">
        <v>34</v>
      </c>
      <c r="F2251" t="str">
        <f>"0002560"</f>
        <v>0002560</v>
      </c>
      <c r="G2251">
        <v>1</v>
      </c>
      <c r="H2251" t="str">
        <f>"00000000"</f>
        <v>00000000</v>
      </c>
      <c r="I2251" t="s">
        <v>35</v>
      </c>
      <c r="J2251"/>
      <c r="K2251">
        <v>101.89</v>
      </c>
      <c r="L2251">
        <v>0.0</v>
      </c>
      <c r="M2251"/>
      <c r="N2251"/>
      <c r="O2251">
        <v>18.34</v>
      </c>
      <c r="P2251">
        <v>0.4</v>
      </c>
      <c r="Q2251">
        <v>120.63</v>
      </c>
      <c r="R2251"/>
      <c r="S2251"/>
      <c r="T2251"/>
      <c r="U2251"/>
      <c r="V2251"/>
      <c r="W2251">
        <v>18</v>
      </c>
    </row>
    <row r="2252" spans="1:23">
      <c r="A2252"/>
      <c r="B2252" t="s">
        <v>68</v>
      </c>
      <c r="C2252" t="s">
        <v>68</v>
      </c>
      <c r="D2252" t="s">
        <v>33</v>
      </c>
      <c r="E2252" t="s">
        <v>34</v>
      </c>
      <c r="F2252" t="str">
        <f>"0002561"</f>
        <v>0002561</v>
      </c>
      <c r="G2252">
        <v>1</v>
      </c>
      <c r="H2252" t="str">
        <f>"00000000"</f>
        <v>00000000</v>
      </c>
      <c r="I2252" t="s">
        <v>35</v>
      </c>
      <c r="J2252"/>
      <c r="K2252">
        <v>18.34</v>
      </c>
      <c r="L2252">
        <v>0.0</v>
      </c>
      <c r="M2252"/>
      <c r="N2252"/>
      <c r="O2252">
        <v>3.3</v>
      </c>
      <c r="P2252">
        <v>0.0</v>
      </c>
      <c r="Q2252">
        <v>21.64</v>
      </c>
      <c r="R2252"/>
      <c r="S2252"/>
      <c r="T2252"/>
      <c r="U2252"/>
      <c r="V2252"/>
      <c r="W2252">
        <v>18</v>
      </c>
    </row>
    <row r="2253" spans="1:23">
      <c r="A2253"/>
      <c r="B2253" t="s">
        <v>68</v>
      </c>
      <c r="C2253" t="s">
        <v>68</v>
      </c>
      <c r="D2253" t="s">
        <v>33</v>
      </c>
      <c r="E2253" t="s">
        <v>34</v>
      </c>
      <c r="F2253" t="str">
        <f>"0002562"</f>
        <v>0002562</v>
      </c>
      <c r="G2253">
        <v>1</v>
      </c>
      <c r="H2253" t="str">
        <f>"00000000"</f>
        <v>00000000</v>
      </c>
      <c r="I2253" t="s">
        <v>35</v>
      </c>
      <c r="J2253"/>
      <c r="K2253">
        <v>1.69</v>
      </c>
      <c r="L2253">
        <v>0.0</v>
      </c>
      <c r="M2253"/>
      <c r="N2253"/>
      <c r="O2253">
        <v>0.31</v>
      </c>
      <c r="P2253">
        <v>0.0</v>
      </c>
      <c r="Q2253">
        <v>2.0</v>
      </c>
      <c r="R2253"/>
      <c r="S2253"/>
      <c r="T2253"/>
      <c r="U2253"/>
      <c r="V2253"/>
      <c r="W2253">
        <v>18</v>
      </c>
    </row>
    <row r="2254" spans="1:23">
      <c r="A2254"/>
      <c r="B2254" t="s">
        <v>68</v>
      </c>
      <c r="C2254" t="s">
        <v>68</v>
      </c>
      <c r="D2254" t="s">
        <v>33</v>
      </c>
      <c r="E2254" t="s">
        <v>34</v>
      </c>
      <c r="F2254" t="str">
        <f>"0002563"</f>
        <v>0002563</v>
      </c>
      <c r="G2254">
        <v>1</v>
      </c>
      <c r="H2254" t="str">
        <f>"00000000"</f>
        <v>00000000</v>
      </c>
      <c r="I2254" t="s">
        <v>35</v>
      </c>
      <c r="J2254"/>
      <c r="K2254">
        <v>10.17</v>
      </c>
      <c r="L2254">
        <v>0.0</v>
      </c>
      <c r="M2254"/>
      <c r="N2254"/>
      <c r="O2254">
        <v>1.83</v>
      </c>
      <c r="P2254">
        <v>0.0</v>
      </c>
      <c r="Q2254">
        <v>12.0</v>
      </c>
      <c r="R2254"/>
      <c r="S2254"/>
      <c r="T2254"/>
      <c r="U2254"/>
      <c r="V2254"/>
      <c r="W2254">
        <v>18</v>
      </c>
    </row>
    <row r="2255" spans="1:23">
      <c r="A2255"/>
      <c r="B2255" t="s">
        <v>68</v>
      </c>
      <c r="C2255" t="s">
        <v>68</v>
      </c>
      <c r="D2255" t="s">
        <v>33</v>
      </c>
      <c r="E2255" t="s">
        <v>34</v>
      </c>
      <c r="F2255" t="str">
        <f>"0002564"</f>
        <v>0002564</v>
      </c>
      <c r="G2255">
        <v>1</v>
      </c>
      <c r="H2255" t="str">
        <f>"00000000"</f>
        <v>00000000</v>
      </c>
      <c r="I2255" t="s">
        <v>35</v>
      </c>
      <c r="J2255"/>
      <c r="K2255">
        <v>50.87</v>
      </c>
      <c r="L2255">
        <v>0.0</v>
      </c>
      <c r="M2255"/>
      <c r="N2255"/>
      <c r="O2255">
        <v>9.16</v>
      </c>
      <c r="P2255">
        <v>0.2</v>
      </c>
      <c r="Q2255">
        <v>60.22</v>
      </c>
      <c r="R2255"/>
      <c r="S2255"/>
      <c r="T2255"/>
      <c r="U2255"/>
      <c r="V2255"/>
      <c r="W2255">
        <v>18</v>
      </c>
    </row>
    <row r="2256" spans="1:23">
      <c r="A2256"/>
      <c r="B2256" t="s">
        <v>68</v>
      </c>
      <c r="C2256" t="s">
        <v>68</v>
      </c>
      <c r="D2256" t="s">
        <v>33</v>
      </c>
      <c r="E2256" t="s">
        <v>34</v>
      </c>
      <c r="F2256" t="str">
        <f>"0002565"</f>
        <v>0002565</v>
      </c>
      <c r="G2256">
        <v>1</v>
      </c>
      <c r="H2256" t="str">
        <f>"00000000"</f>
        <v>00000000</v>
      </c>
      <c r="I2256" t="s">
        <v>35</v>
      </c>
      <c r="J2256"/>
      <c r="K2256">
        <v>9.72</v>
      </c>
      <c r="L2256">
        <v>0.0</v>
      </c>
      <c r="M2256"/>
      <c r="N2256"/>
      <c r="O2256">
        <v>1.75</v>
      </c>
      <c r="P2256">
        <v>0.0</v>
      </c>
      <c r="Q2256">
        <v>11.47</v>
      </c>
      <c r="R2256"/>
      <c r="S2256"/>
      <c r="T2256"/>
      <c r="U2256"/>
      <c r="V2256"/>
      <c r="W2256">
        <v>18</v>
      </c>
    </row>
    <row r="2257" spans="1:23">
      <c r="A2257"/>
      <c r="B2257" t="s">
        <v>68</v>
      </c>
      <c r="C2257" t="s">
        <v>68</v>
      </c>
      <c r="D2257" t="s">
        <v>33</v>
      </c>
      <c r="E2257" t="s">
        <v>34</v>
      </c>
      <c r="F2257" t="str">
        <f>"0002566"</f>
        <v>0002566</v>
      </c>
      <c r="G2257">
        <v>1</v>
      </c>
      <c r="H2257" t="str">
        <f>"00000000"</f>
        <v>00000000</v>
      </c>
      <c r="I2257" t="s">
        <v>35</v>
      </c>
      <c r="J2257"/>
      <c r="K2257">
        <v>2.97</v>
      </c>
      <c r="L2257">
        <v>0.0</v>
      </c>
      <c r="M2257"/>
      <c r="N2257"/>
      <c r="O2257">
        <v>0.53</v>
      </c>
      <c r="P2257">
        <v>0.0</v>
      </c>
      <c r="Q2257">
        <v>3.5</v>
      </c>
      <c r="R2257"/>
      <c r="S2257"/>
      <c r="T2257"/>
      <c r="U2257"/>
      <c r="V2257"/>
      <c r="W2257">
        <v>18</v>
      </c>
    </row>
    <row r="2258" spans="1:23">
      <c r="A2258"/>
      <c r="B2258" t="s">
        <v>68</v>
      </c>
      <c r="C2258" t="s">
        <v>68</v>
      </c>
      <c r="D2258" t="s">
        <v>33</v>
      </c>
      <c r="E2258" t="s">
        <v>34</v>
      </c>
      <c r="F2258" t="str">
        <f>"0002567"</f>
        <v>0002567</v>
      </c>
      <c r="G2258">
        <v>1</v>
      </c>
      <c r="H2258" t="str">
        <f>"00000000"</f>
        <v>00000000</v>
      </c>
      <c r="I2258" t="s">
        <v>35</v>
      </c>
      <c r="J2258"/>
      <c r="K2258">
        <v>5.08</v>
      </c>
      <c r="L2258">
        <v>0.0</v>
      </c>
      <c r="M2258"/>
      <c r="N2258"/>
      <c r="O2258">
        <v>0.92</v>
      </c>
      <c r="P2258">
        <v>0.0</v>
      </c>
      <c r="Q2258">
        <v>6.0</v>
      </c>
      <c r="R2258"/>
      <c r="S2258"/>
      <c r="T2258"/>
      <c r="U2258"/>
      <c r="V2258"/>
      <c r="W2258">
        <v>18</v>
      </c>
    </row>
    <row r="2259" spans="1:23">
      <c r="A2259"/>
      <c r="B2259" t="s">
        <v>68</v>
      </c>
      <c r="C2259" t="s">
        <v>68</v>
      </c>
      <c r="D2259" t="s">
        <v>33</v>
      </c>
      <c r="E2259" t="s">
        <v>34</v>
      </c>
      <c r="F2259" t="str">
        <f>"0002568"</f>
        <v>0002568</v>
      </c>
      <c r="G2259">
        <v>1</v>
      </c>
      <c r="H2259" t="str">
        <f>"00000000"</f>
        <v>00000000</v>
      </c>
      <c r="I2259" t="s">
        <v>35</v>
      </c>
      <c r="J2259"/>
      <c r="K2259">
        <v>7.53</v>
      </c>
      <c r="L2259">
        <v>0.0</v>
      </c>
      <c r="M2259"/>
      <c r="N2259"/>
      <c r="O2259">
        <v>1.36</v>
      </c>
      <c r="P2259">
        <v>0.2</v>
      </c>
      <c r="Q2259">
        <v>9.09</v>
      </c>
      <c r="R2259"/>
      <c r="S2259"/>
      <c r="T2259"/>
      <c r="U2259"/>
      <c r="V2259"/>
      <c r="W2259">
        <v>18</v>
      </c>
    </row>
    <row r="2260" spans="1:23">
      <c r="A2260"/>
      <c r="B2260" t="s">
        <v>68</v>
      </c>
      <c r="C2260" t="s">
        <v>68</v>
      </c>
      <c r="D2260" t="s">
        <v>33</v>
      </c>
      <c r="E2260" t="s">
        <v>34</v>
      </c>
      <c r="F2260" t="str">
        <f>"0002569"</f>
        <v>0002569</v>
      </c>
      <c r="G2260">
        <v>1</v>
      </c>
      <c r="H2260" t="str">
        <f>"00000000"</f>
        <v>00000000</v>
      </c>
      <c r="I2260" t="s">
        <v>35</v>
      </c>
      <c r="J2260"/>
      <c r="K2260">
        <v>5.15</v>
      </c>
      <c r="L2260">
        <v>0.0</v>
      </c>
      <c r="M2260"/>
      <c r="N2260"/>
      <c r="O2260">
        <v>0.93</v>
      </c>
      <c r="P2260">
        <v>0.0</v>
      </c>
      <c r="Q2260">
        <v>6.08</v>
      </c>
      <c r="R2260"/>
      <c r="S2260"/>
      <c r="T2260"/>
      <c r="U2260"/>
      <c r="V2260"/>
      <c r="W2260">
        <v>18</v>
      </c>
    </row>
    <row r="2261" spans="1:23">
      <c r="A2261"/>
      <c r="B2261" t="s">
        <v>68</v>
      </c>
      <c r="C2261" t="s">
        <v>68</v>
      </c>
      <c r="D2261" t="s">
        <v>33</v>
      </c>
      <c r="E2261" t="s">
        <v>34</v>
      </c>
      <c r="F2261" t="str">
        <f>"0002570"</f>
        <v>0002570</v>
      </c>
      <c r="G2261">
        <v>1</v>
      </c>
      <c r="H2261" t="str">
        <f>"00000000"</f>
        <v>00000000</v>
      </c>
      <c r="I2261" t="s">
        <v>35</v>
      </c>
      <c r="J2261"/>
      <c r="K2261">
        <v>44.06</v>
      </c>
      <c r="L2261">
        <v>0.0</v>
      </c>
      <c r="M2261"/>
      <c r="N2261"/>
      <c r="O2261">
        <v>7.93</v>
      </c>
      <c r="P2261">
        <v>0.0</v>
      </c>
      <c r="Q2261">
        <v>52.0</v>
      </c>
      <c r="R2261"/>
      <c r="S2261"/>
      <c r="T2261"/>
      <c r="U2261"/>
      <c r="V2261"/>
      <c r="W2261">
        <v>18</v>
      </c>
    </row>
    <row r="2262" spans="1:23">
      <c r="A2262"/>
      <c r="B2262" t="s">
        <v>68</v>
      </c>
      <c r="C2262" t="s">
        <v>68</v>
      </c>
      <c r="D2262" t="s">
        <v>33</v>
      </c>
      <c r="E2262" t="s">
        <v>34</v>
      </c>
      <c r="F2262" t="str">
        <f>"0002571"</f>
        <v>0002571</v>
      </c>
      <c r="G2262">
        <v>1</v>
      </c>
      <c r="H2262" t="str">
        <f>"00000000"</f>
        <v>00000000</v>
      </c>
      <c r="I2262" t="s">
        <v>35</v>
      </c>
      <c r="J2262"/>
      <c r="K2262">
        <v>68.21</v>
      </c>
      <c r="L2262">
        <v>0.0</v>
      </c>
      <c r="M2262"/>
      <c r="N2262"/>
      <c r="O2262">
        <v>12.28</v>
      </c>
      <c r="P2262">
        <v>0.0</v>
      </c>
      <c r="Q2262">
        <v>80.48</v>
      </c>
      <c r="R2262"/>
      <c r="S2262"/>
      <c r="T2262"/>
      <c r="U2262"/>
      <c r="V2262"/>
      <c r="W2262">
        <v>18</v>
      </c>
    </row>
    <row r="2263" spans="1:23">
      <c r="A2263"/>
      <c r="B2263" t="s">
        <v>68</v>
      </c>
      <c r="C2263" t="s">
        <v>68</v>
      </c>
      <c r="D2263" t="s">
        <v>33</v>
      </c>
      <c r="E2263" t="s">
        <v>34</v>
      </c>
      <c r="F2263" t="str">
        <f>"0002572"</f>
        <v>0002572</v>
      </c>
      <c r="G2263">
        <v>1</v>
      </c>
      <c r="H2263" t="str">
        <f>"00000000"</f>
        <v>00000000</v>
      </c>
      <c r="I2263" t="s">
        <v>35</v>
      </c>
      <c r="J2263"/>
      <c r="K2263">
        <v>11.78</v>
      </c>
      <c r="L2263">
        <v>0.0</v>
      </c>
      <c r="M2263"/>
      <c r="N2263"/>
      <c r="O2263">
        <v>2.12</v>
      </c>
      <c r="P2263">
        <v>0.0</v>
      </c>
      <c r="Q2263">
        <v>13.9</v>
      </c>
      <c r="R2263"/>
      <c r="S2263"/>
      <c r="T2263"/>
      <c r="U2263"/>
      <c r="V2263"/>
      <c r="W2263">
        <v>18</v>
      </c>
    </row>
    <row r="2264" spans="1:23">
      <c r="A2264"/>
      <c r="B2264" t="s">
        <v>68</v>
      </c>
      <c r="C2264" t="s">
        <v>68</v>
      </c>
      <c r="D2264" t="s">
        <v>33</v>
      </c>
      <c r="E2264" t="s">
        <v>34</v>
      </c>
      <c r="F2264" t="str">
        <f>"0002573"</f>
        <v>0002573</v>
      </c>
      <c r="G2264">
        <v>1</v>
      </c>
      <c r="H2264" t="str">
        <f>"00000000"</f>
        <v>00000000</v>
      </c>
      <c r="I2264" t="s">
        <v>35</v>
      </c>
      <c r="J2264"/>
      <c r="K2264">
        <v>1.86</v>
      </c>
      <c r="L2264">
        <v>0.0</v>
      </c>
      <c r="M2264"/>
      <c r="N2264"/>
      <c r="O2264">
        <v>0.34</v>
      </c>
      <c r="P2264">
        <v>0.0</v>
      </c>
      <c r="Q2264">
        <v>2.2</v>
      </c>
      <c r="R2264"/>
      <c r="S2264"/>
      <c r="T2264"/>
      <c r="U2264"/>
      <c r="V2264"/>
      <c r="W2264">
        <v>18</v>
      </c>
    </row>
    <row r="2265" spans="1:23">
      <c r="A2265"/>
      <c r="B2265" t="s">
        <v>68</v>
      </c>
      <c r="C2265" t="s">
        <v>68</v>
      </c>
      <c r="D2265" t="s">
        <v>33</v>
      </c>
      <c r="E2265" t="s">
        <v>34</v>
      </c>
      <c r="F2265" t="str">
        <f>"0002574"</f>
        <v>0002574</v>
      </c>
      <c r="G2265">
        <v>1</v>
      </c>
      <c r="H2265" t="str">
        <f>"00000000"</f>
        <v>00000000</v>
      </c>
      <c r="I2265" t="s">
        <v>35</v>
      </c>
      <c r="J2265"/>
      <c r="K2265">
        <v>12.39</v>
      </c>
      <c r="L2265">
        <v>0.0</v>
      </c>
      <c r="M2265"/>
      <c r="N2265"/>
      <c r="O2265">
        <v>2.23</v>
      </c>
      <c r="P2265">
        <v>0.2</v>
      </c>
      <c r="Q2265">
        <v>14.81</v>
      </c>
      <c r="R2265"/>
      <c r="S2265"/>
      <c r="T2265"/>
      <c r="U2265"/>
      <c r="V2265"/>
      <c r="W2265">
        <v>18</v>
      </c>
    </row>
    <row r="2266" spans="1:23">
      <c r="A2266"/>
      <c r="B2266" t="s">
        <v>68</v>
      </c>
      <c r="C2266" t="s">
        <v>68</v>
      </c>
      <c r="D2266" t="s">
        <v>36</v>
      </c>
      <c r="E2266" t="s">
        <v>37</v>
      </c>
      <c r="F2266" t="str">
        <f>"0000036"</f>
        <v>0000036</v>
      </c>
      <c r="G2266">
        <v>6</v>
      </c>
      <c r="H2266" t="str">
        <f>"20271977108"</f>
        <v>20271977108</v>
      </c>
      <c r="I2266" t="s">
        <v>69</v>
      </c>
      <c r="J2266"/>
      <c r="K2266">
        <v>14.83</v>
      </c>
      <c r="L2266">
        <v>0.0</v>
      </c>
      <c r="M2266"/>
      <c r="N2266"/>
      <c r="O2266">
        <v>2.67</v>
      </c>
      <c r="P2266">
        <v>0.0</v>
      </c>
      <c r="Q2266">
        <v>17.5</v>
      </c>
      <c r="R2266"/>
      <c r="S2266"/>
      <c r="T2266"/>
      <c r="U2266"/>
      <c r="V2266"/>
      <c r="W2266">
        <v>18</v>
      </c>
    </row>
    <row r="2267" spans="1:23">
      <c r="A2267"/>
      <c r="B2267" t="s">
        <v>68</v>
      </c>
      <c r="C2267" t="s">
        <v>68</v>
      </c>
      <c r="D2267" t="s">
        <v>33</v>
      </c>
      <c r="E2267" t="s">
        <v>34</v>
      </c>
      <c r="F2267" t="str">
        <f>"0002575"</f>
        <v>0002575</v>
      </c>
      <c r="G2267">
        <v>1</v>
      </c>
      <c r="H2267" t="str">
        <f>"00000000"</f>
        <v>00000000</v>
      </c>
      <c r="I2267" t="s">
        <v>35</v>
      </c>
      <c r="J2267"/>
      <c r="K2267">
        <v>1.27</v>
      </c>
      <c r="L2267">
        <v>0.0</v>
      </c>
      <c r="M2267"/>
      <c r="N2267"/>
      <c r="O2267">
        <v>0.23</v>
      </c>
      <c r="P2267">
        <v>0.0</v>
      </c>
      <c r="Q2267">
        <v>1.5</v>
      </c>
      <c r="R2267"/>
      <c r="S2267"/>
      <c r="T2267"/>
      <c r="U2267"/>
      <c r="V2267"/>
      <c r="W2267">
        <v>18</v>
      </c>
    </row>
    <row r="2268" spans="1:23">
      <c r="A2268"/>
      <c r="B2268" t="s">
        <v>68</v>
      </c>
      <c r="C2268" t="s">
        <v>68</v>
      </c>
      <c r="D2268" t="s">
        <v>33</v>
      </c>
      <c r="E2268" t="s">
        <v>34</v>
      </c>
      <c r="F2268" t="str">
        <f>"0002576"</f>
        <v>0002576</v>
      </c>
      <c r="G2268">
        <v>1</v>
      </c>
      <c r="H2268" t="str">
        <f>"00000000"</f>
        <v>00000000</v>
      </c>
      <c r="I2268" t="s">
        <v>35</v>
      </c>
      <c r="J2268"/>
      <c r="K2268">
        <v>18.61</v>
      </c>
      <c r="L2268">
        <v>0.0</v>
      </c>
      <c r="M2268"/>
      <c r="N2268"/>
      <c r="O2268">
        <v>3.35</v>
      </c>
      <c r="P2268">
        <v>0.0</v>
      </c>
      <c r="Q2268">
        <v>21.96</v>
      </c>
      <c r="R2268"/>
      <c r="S2268"/>
      <c r="T2268"/>
      <c r="U2268"/>
      <c r="V2268"/>
      <c r="W2268">
        <v>18</v>
      </c>
    </row>
    <row r="2269" spans="1:23">
      <c r="A2269"/>
      <c r="B2269" t="s">
        <v>68</v>
      </c>
      <c r="C2269" t="s">
        <v>68</v>
      </c>
      <c r="D2269" t="s">
        <v>33</v>
      </c>
      <c r="E2269" t="s">
        <v>34</v>
      </c>
      <c r="F2269" t="str">
        <f>"0002577"</f>
        <v>0002577</v>
      </c>
      <c r="G2269">
        <v>1</v>
      </c>
      <c r="H2269" t="str">
        <f>"00000000"</f>
        <v>00000000</v>
      </c>
      <c r="I2269" t="s">
        <v>35</v>
      </c>
      <c r="J2269"/>
      <c r="K2269">
        <v>11.44</v>
      </c>
      <c r="L2269">
        <v>0.0</v>
      </c>
      <c r="M2269"/>
      <c r="N2269"/>
      <c r="O2269">
        <v>2.06</v>
      </c>
      <c r="P2269">
        <v>0.0</v>
      </c>
      <c r="Q2269">
        <v>13.5</v>
      </c>
      <c r="R2269"/>
      <c r="S2269"/>
      <c r="T2269"/>
      <c r="U2269"/>
      <c r="V2269"/>
      <c r="W2269">
        <v>18</v>
      </c>
    </row>
    <row r="2270" spans="1:23">
      <c r="A2270"/>
      <c r="B2270" t="s">
        <v>68</v>
      </c>
      <c r="C2270" t="s">
        <v>68</v>
      </c>
      <c r="D2270" t="s">
        <v>33</v>
      </c>
      <c r="E2270" t="s">
        <v>34</v>
      </c>
      <c r="F2270" t="str">
        <f>"0002578"</f>
        <v>0002578</v>
      </c>
      <c r="G2270">
        <v>1</v>
      </c>
      <c r="H2270" t="str">
        <f>"00000000"</f>
        <v>00000000</v>
      </c>
      <c r="I2270" t="s">
        <v>35</v>
      </c>
      <c r="J2270"/>
      <c r="K2270">
        <v>5.38</v>
      </c>
      <c r="L2270">
        <v>0.0</v>
      </c>
      <c r="M2270"/>
      <c r="N2270"/>
      <c r="O2270">
        <v>0.97</v>
      </c>
      <c r="P2270">
        <v>0.0</v>
      </c>
      <c r="Q2270">
        <v>6.34</v>
      </c>
      <c r="R2270"/>
      <c r="S2270"/>
      <c r="T2270"/>
      <c r="U2270"/>
      <c r="V2270"/>
      <c r="W2270">
        <v>18</v>
      </c>
    </row>
    <row r="2271" spans="1:23">
      <c r="A2271"/>
      <c r="B2271" t="s">
        <v>68</v>
      </c>
      <c r="C2271" t="s">
        <v>68</v>
      </c>
      <c r="D2271" t="s">
        <v>33</v>
      </c>
      <c r="E2271" t="s">
        <v>34</v>
      </c>
      <c r="F2271" t="str">
        <f>"0002579"</f>
        <v>0002579</v>
      </c>
      <c r="G2271">
        <v>1</v>
      </c>
      <c r="H2271" t="str">
        <f>"00000000"</f>
        <v>00000000</v>
      </c>
      <c r="I2271" t="s">
        <v>35</v>
      </c>
      <c r="J2271"/>
      <c r="K2271">
        <v>2.4</v>
      </c>
      <c r="L2271">
        <v>0.0</v>
      </c>
      <c r="M2271"/>
      <c r="N2271"/>
      <c r="O2271">
        <v>0.43</v>
      </c>
      <c r="P2271">
        <v>0.0</v>
      </c>
      <c r="Q2271">
        <v>2.83</v>
      </c>
      <c r="R2271"/>
      <c r="S2271"/>
      <c r="T2271"/>
      <c r="U2271"/>
      <c r="V2271"/>
      <c r="W2271">
        <v>18</v>
      </c>
    </row>
    <row r="2272" spans="1:23">
      <c r="A2272"/>
      <c r="B2272" t="s">
        <v>68</v>
      </c>
      <c r="C2272" t="s">
        <v>68</v>
      </c>
      <c r="D2272" t="s">
        <v>33</v>
      </c>
      <c r="E2272" t="s">
        <v>34</v>
      </c>
      <c r="F2272" t="str">
        <f>"0002580"</f>
        <v>0002580</v>
      </c>
      <c r="G2272">
        <v>1</v>
      </c>
      <c r="H2272" t="str">
        <f>"00000000"</f>
        <v>00000000</v>
      </c>
      <c r="I2272" t="s">
        <v>35</v>
      </c>
      <c r="J2272"/>
      <c r="K2272">
        <v>16.03</v>
      </c>
      <c r="L2272">
        <v>0.0</v>
      </c>
      <c r="M2272"/>
      <c r="N2272"/>
      <c r="O2272">
        <v>2.89</v>
      </c>
      <c r="P2272">
        <v>0.2</v>
      </c>
      <c r="Q2272">
        <v>19.12</v>
      </c>
      <c r="R2272"/>
      <c r="S2272"/>
      <c r="T2272"/>
      <c r="U2272"/>
      <c r="V2272"/>
      <c r="W2272">
        <v>18</v>
      </c>
    </row>
    <row r="2273" spans="1:23">
      <c r="A2273"/>
      <c r="B2273" t="s">
        <v>68</v>
      </c>
      <c r="C2273" t="s">
        <v>68</v>
      </c>
      <c r="D2273" t="s">
        <v>33</v>
      </c>
      <c r="E2273" t="s">
        <v>34</v>
      </c>
      <c r="F2273" t="str">
        <f>"0002581"</f>
        <v>0002581</v>
      </c>
      <c r="G2273">
        <v>1</v>
      </c>
      <c r="H2273" t="str">
        <f>"00000000"</f>
        <v>00000000</v>
      </c>
      <c r="I2273" t="s">
        <v>35</v>
      </c>
      <c r="J2273"/>
      <c r="K2273">
        <v>7.71</v>
      </c>
      <c r="L2273">
        <v>0.0</v>
      </c>
      <c r="M2273"/>
      <c r="N2273"/>
      <c r="O2273">
        <v>1.39</v>
      </c>
      <c r="P2273">
        <v>0.2</v>
      </c>
      <c r="Q2273">
        <v>9.29</v>
      </c>
      <c r="R2273"/>
      <c r="S2273"/>
      <c r="T2273"/>
      <c r="U2273"/>
      <c r="V2273"/>
      <c r="W2273">
        <v>18</v>
      </c>
    </row>
    <row r="2274" spans="1:23">
      <c r="A2274"/>
      <c r="B2274" t="s">
        <v>68</v>
      </c>
      <c r="C2274" t="s">
        <v>68</v>
      </c>
      <c r="D2274" t="s">
        <v>33</v>
      </c>
      <c r="E2274" t="s">
        <v>34</v>
      </c>
      <c r="F2274" t="str">
        <f>"0002582"</f>
        <v>0002582</v>
      </c>
      <c r="G2274">
        <v>1</v>
      </c>
      <c r="H2274" t="str">
        <f>"00000000"</f>
        <v>00000000</v>
      </c>
      <c r="I2274" t="s">
        <v>35</v>
      </c>
      <c r="J2274"/>
      <c r="K2274">
        <v>20.36</v>
      </c>
      <c r="L2274">
        <v>0.0</v>
      </c>
      <c r="M2274"/>
      <c r="N2274"/>
      <c r="O2274">
        <v>3.67</v>
      </c>
      <c r="P2274">
        <v>0.0</v>
      </c>
      <c r="Q2274">
        <v>24.03</v>
      </c>
      <c r="R2274"/>
      <c r="S2274"/>
      <c r="T2274"/>
      <c r="U2274"/>
      <c r="V2274"/>
      <c r="W2274">
        <v>18</v>
      </c>
    </row>
    <row r="2275" spans="1:23">
      <c r="A2275"/>
      <c r="B2275" t="s">
        <v>68</v>
      </c>
      <c r="C2275" t="s">
        <v>68</v>
      </c>
      <c r="D2275" t="s">
        <v>33</v>
      </c>
      <c r="E2275" t="s">
        <v>34</v>
      </c>
      <c r="F2275" t="str">
        <f>"0002583"</f>
        <v>0002583</v>
      </c>
      <c r="G2275">
        <v>1</v>
      </c>
      <c r="H2275" t="str">
        <f>"00000000"</f>
        <v>00000000</v>
      </c>
      <c r="I2275" t="s">
        <v>35</v>
      </c>
      <c r="J2275"/>
      <c r="K2275">
        <v>10.76</v>
      </c>
      <c r="L2275">
        <v>0.0</v>
      </c>
      <c r="M2275"/>
      <c r="N2275"/>
      <c r="O2275">
        <v>1.94</v>
      </c>
      <c r="P2275">
        <v>0.2</v>
      </c>
      <c r="Q2275">
        <v>12.9</v>
      </c>
      <c r="R2275"/>
      <c r="S2275"/>
      <c r="T2275"/>
      <c r="U2275"/>
      <c r="V2275"/>
      <c r="W2275">
        <v>18</v>
      </c>
    </row>
    <row r="2276" spans="1:23">
      <c r="A2276"/>
      <c r="B2276" t="s">
        <v>68</v>
      </c>
      <c r="C2276" t="s">
        <v>68</v>
      </c>
      <c r="D2276" t="s">
        <v>33</v>
      </c>
      <c r="E2276" t="s">
        <v>34</v>
      </c>
      <c r="F2276" t="str">
        <f>"0002584"</f>
        <v>0002584</v>
      </c>
      <c r="G2276">
        <v>1</v>
      </c>
      <c r="H2276" t="str">
        <f>"00000000"</f>
        <v>00000000</v>
      </c>
      <c r="I2276" t="s">
        <v>35</v>
      </c>
      <c r="J2276"/>
      <c r="K2276">
        <v>6.78</v>
      </c>
      <c r="L2276">
        <v>0.0</v>
      </c>
      <c r="M2276"/>
      <c r="N2276"/>
      <c r="O2276">
        <v>1.22</v>
      </c>
      <c r="P2276">
        <v>0.0</v>
      </c>
      <c r="Q2276">
        <v>8.0</v>
      </c>
      <c r="R2276"/>
      <c r="S2276"/>
      <c r="T2276"/>
      <c r="U2276"/>
      <c r="V2276"/>
      <c r="W2276">
        <v>18</v>
      </c>
    </row>
    <row r="2277" spans="1:23">
      <c r="A2277"/>
      <c r="B2277" t="s">
        <v>68</v>
      </c>
      <c r="C2277" t="s">
        <v>68</v>
      </c>
      <c r="D2277" t="s">
        <v>33</v>
      </c>
      <c r="E2277" t="s">
        <v>34</v>
      </c>
      <c r="F2277" t="str">
        <f>"0002585"</f>
        <v>0002585</v>
      </c>
      <c r="G2277">
        <v>1</v>
      </c>
      <c r="H2277" t="str">
        <f>"00000000"</f>
        <v>00000000</v>
      </c>
      <c r="I2277" t="s">
        <v>35</v>
      </c>
      <c r="J2277"/>
      <c r="K2277">
        <v>71.35</v>
      </c>
      <c r="L2277">
        <v>0.0</v>
      </c>
      <c r="M2277"/>
      <c r="N2277"/>
      <c r="O2277">
        <v>12.84</v>
      </c>
      <c r="P2277">
        <v>0.0</v>
      </c>
      <c r="Q2277">
        <v>84.2</v>
      </c>
      <c r="R2277"/>
      <c r="S2277"/>
      <c r="T2277"/>
      <c r="U2277"/>
      <c r="V2277"/>
      <c r="W2277">
        <v>18</v>
      </c>
    </row>
    <row r="2278" spans="1:23">
      <c r="A2278"/>
      <c r="B2278" t="s">
        <v>68</v>
      </c>
      <c r="C2278" t="s">
        <v>68</v>
      </c>
      <c r="D2278" t="s">
        <v>33</v>
      </c>
      <c r="E2278" t="s">
        <v>34</v>
      </c>
      <c r="F2278" t="str">
        <f>"0002586"</f>
        <v>0002586</v>
      </c>
      <c r="G2278">
        <v>1</v>
      </c>
      <c r="H2278" t="str">
        <f>"00000000"</f>
        <v>00000000</v>
      </c>
      <c r="I2278" t="s">
        <v>35</v>
      </c>
      <c r="J2278"/>
      <c r="K2278">
        <v>0.78</v>
      </c>
      <c r="L2278">
        <v>0.0</v>
      </c>
      <c r="M2278"/>
      <c r="N2278"/>
      <c r="O2278">
        <v>0.14</v>
      </c>
      <c r="P2278">
        <v>0.0</v>
      </c>
      <c r="Q2278">
        <v>0.92</v>
      </c>
      <c r="R2278"/>
      <c r="S2278"/>
      <c r="T2278"/>
      <c r="U2278"/>
      <c r="V2278"/>
      <c r="W2278">
        <v>18</v>
      </c>
    </row>
    <row r="2279" spans="1:23">
      <c r="A2279"/>
      <c r="B2279" t="s">
        <v>68</v>
      </c>
      <c r="C2279" t="s">
        <v>68</v>
      </c>
      <c r="D2279" t="s">
        <v>33</v>
      </c>
      <c r="E2279" t="s">
        <v>34</v>
      </c>
      <c r="F2279" t="str">
        <f>"0002587"</f>
        <v>0002587</v>
      </c>
      <c r="G2279">
        <v>1</v>
      </c>
      <c r="H2279" t="str">
        <f>"00000000"</f>
        <v>00000000</v>
      </c>
      <c r="I2279" t="s">
        <v>35</v>
      </c>
      <c r="J2279"/>
      <c r="K2279">
        <v>3.76</v>
      </c>
      <c r="L2279">
        <v>0.0</v>
      </c>
      <c r="M2279"/>
      <c r="N2279"/>
      <c r="O2279">
        <v>0.68</v>
      </c>
      <c r="P2279">
        <v>0.0</v>
      </c>
      <c r="Q2279">
        <v>4.44</v>
      </c>
      <c r="R2279"/>
      <c r="S2279"/>
      <c r="T2279"/>
      <c r="U2279"/>
      <c r="V2279"/>
      <c r="W2279">
        <v>18</v>
      </c>
    </row>
    <row r="2280" spans="1:23">
      <c r="A2280"/>
      <c r="B2280" t="s">
        <v>68</v>
      </c>
      <c r="C2280" t="s">
        <v>68</v>
      </c>
      <c r="D2280" t="s">
        <v>33</v>
      </c>
      <c r="E2280" t="s">
        <v>34</v>
      </c>
      <c r="F2280" t="str">
        <f>"0002588"</f>
        <v>0002588</v>
      </c>
      <c r="G2280">
        <v>1</v>
      </c>
      <c r="H2280" t="str">
        <f>"00000000"</f>
        <v>00000000</v>
      </c>
      <c r="I2280" t="s">
        <v>35</v>
      </c>
      <c r="J2280"/>
      <c r="K2280">
        <v>13.37</v>
      </c>
      <c r="L2280">
        <v>0.0</v>
      </c>
      <c r="M2280"/>
      <c r="N2280"/>
      <c r="O2280">
        <v>2.41</v>
      </c>
      <c r="P2280">
        <v>0.2</v>
      </c>
      <c r="Q2280">
        <v>15.97</v>
      </c>
      <c r="R2280"/>
      <c r="S2280"/>
      <c r="T2280"/>
      <c r="U2280"/>
      <c r="V2280"/>
      <c r="W2280">
        <v>18</v>
      </c>
    </row>
    <row r="2281" spans="1:23">
      <c r="A2281"/>
      <c r="B2281" t="s">
        <v>68</v>
      </c>
      <c r="C2281" t="s">
        <v>68</v>
      </c>
      <c r="D2281" t="s">
        <v>33</v>
      </c>
      <c r="E2281" t="s">
        <v>34</v>
      </c>
      <c r="F2281" t="str">
        <f>"0002589"</f>
        <v>0002589</v>
      </c>
      <c r="G2281">
        <v>1</v>
      </c>
      <c r="H2281" t="str">
        <f>"00000000"</f>
        <v>00000000</v>
      </c>
      <c r="I2281" t="s">
        <v>35</v>
      </c>
      <c r="J2281"/>
      <c r="K2281">
        <v>37.91</v>
      </c>
      <c r="L2281">
        <v>0.0</v>
      </c>
      <c r="M2281"/>
      <c r="N2281"/>
      <c r="O2281">
        <v>6.82</v>
      </c>
      <c r="P2281">
        <v>0.4</v>
      </c>
      <c r="Q2281">
        <v>45.14</v>
      </c>
      <c r="R2281"/>
      <c r="S2281"/>
      <c r="T2281"/>
      <c r="U2281"/>
      <c r="V2281"/>
      <c r="W2281">
        <v>18</v>
      </c>
    </row>
    <row r="2282" spans="1:23">
      <c r="A2282"/>
      <c r="B2282" t="s">
        <v>68</v>
      </c>
      <c r="C2282" t="s">
        <v>68</v>
      </c>
      <c r="D2282" t="s">
        <v>33</v>
      </c>
      <c r="E2282" t="s">
        <v>34</v>
      </c>
      <c r="F2282" t="str">
        <f>"0002590"</f>
        <v>0002590</v>
      </c>
      <c r="G2282">
        <v>1</v>
      </c>
      <c r="H2282" t="str">
        <f>"00000000"</f>
        <v>00000000</v>
      </c>
      <c r="I2282" t="s">
        <v>35</v>
      </c>
      <c r="J2282"/>
      <c r="K2282">
        <v>8.9</v>
      </c>
      <c r="L2282">
        <v>0.0</v>
      </c>
      <c r="M2282"/>
      <c r="N2282"/>
      <c r="O2282">
        <v>1.6</v>
      </c>
      <c r="P2282">
        <v>0.0</v>
      </c>
      <c r="Q2282">
        <v>10.5</v>
      </c>
      <c r="R2282"/>
      <c r="S2282"/>
      <c r="T2282"/>
      <c r="U2282"/>
      <c r="V2282"/>
      <c r="W2282">
        <v>18</v>
      </c>
    </row>
    <row r="2283" spans="1:23">
      <c r="A2283"/>
      <c r="B2283" t="s">
        <v>68</v>
      </c>
      <c r="C2283" t="s">
        <v>68</v>
      </c>
      <c r="D2283" t="s">
        <v>33</v>
      </c>
      <c r="E2283" t="s">
        <v>34</v>
      </c>
      <c r="F2283" t="str">
        <f>"0002591"</f>
        <v>0002591</v>
      </c>
      <c r="G2283">
        <v>1</v>
      </c>
      <c r="H2283" t="str">
        <f>"00000000"</f>
        <v>00000000</v>
      </c>
      <c r="I2283" t="s">
        <v>35</v>
      </c>
      <c r="J2283"/>
      <c r="K2283">
        <v>13.36</v>
      </c>
      <c r="L2283">
        <v>0.0</v>
      </c>
      <c r="M2283"/>
      <c r="N2283"/>
      <c r="O2283">
        <v>2.4</v>
      </c>
      <c r="P2283">
        <v>0.0</v>
      </c>
      <c r="Q2283">
        <v>15.76</v>
      </c>
      <c r="R2283"/>
      <c r="S2283"/>
      <c r="T2283"/>
      <c r="U2283"/>
      <c r="V2283"/>
      <c r="W2283">
        <v>18</v>
      </c>
    </row>
    <row r="2284" spans="1:23">
      <c r="A2284"/>
      <c r="B2284" t="s">
        <v>68</v>
      </c>
      <c r="C2284" t="s">
        <v>68</v>
      </c>
      <c r="D2284" t="s">
        <v>33</v>
      </c>
      <c r="E2284" t="s">
        <v>34</v>
      </c>
      <c r="F2284" t="str">
        <f>"0002592"</f>
        <v>0002592</v>
      </c>
      <c r="G2284">
        <v>1</v>
      </c>
      <c r="H2284" t="str">
        <f>"00000000"</f>
        <v>00000000</v>
      </c>
      <c r="I2284" t="s">
        <v>35</v>
      </c>
      <c r="J2284"/>
      <c r="K2284">
        <v>0.83</v>
      </c>
      <c r="L2284">
        <v>0.0</v>
      </c>
      <c r="M2284"/>
      <c r="N2284"/>
      <c r="O2284">
        <v>0.15</v>
      </c>
      <c r="P2284">
        <v>0.0</v>
      </c>
      <c r="Q2284">
        <v>0.97</v>
      </c>
      <c r="R2284"/>
      <c r="S2284"/>
      <c r="T2284"/>
      <c r="U2284"/>
      <c r="V2284"/>
      <c r="W2284">
        <v>18</v>
      </c>
    </row>
    <row r="2285" spans="1:23">
      <c r="A2285"/>
      <c r="B2285" t="s">
        <v>68</v>
      </c>
      <c r="C2285" t="s">
        <v>68</v>
      </c>
      <c r="D2285" t="s">
        <v>33</v>
      </c>
      <c r="E2285" t="s">
        <v>34</v>
      </c>
      <c r="F2285" t="str">
        <f>"0002593"</f>
        <v>0002593</v>
      </c>
      <c r="G2285">
        <v>1</v>
      </c>
      <c r="H2285" t="str">
        <f>"00000000"</f>
        <v>00000000</v>
      </c>
      <c r="I2285" t="s">
        <v>35</v>
      </c>
      <c r="J2285"/>
      <c r="K2285">
        <v>3.56</v>
      </c>
      <c r="L2285">
        <v>0.0</v>
      </c>
      <c r="M2285"/>
      <c r="N2285"/>
      <c r="O2285">
        <v>0.64</v>
      </c>
      <c r="P2285">
        <v>0.2</v>
      </c>
      <c r="Q2285">
        <v>4.41</v>
      </c>
      <c r="R2285"/>
      <c r="S2285"/>
      <c r="T2285"/>
      <c r="U2285"/>
      <c r="V2285"/>
      <c r="W2285">
        <v>18</v>
      </c>
    </row>
    <row r="2286" spans="1:23">
      <c r="A2286"/>
      <c r="B2286" t="s">
        <v>68</v>
      </c>
      <c r="C2286" t="s">
        <v>68</v>
      </c>
      <c r="D2286" t="s">
        <v>33</v>
      </c>
      <c r="E2286" t="s">
        <v>34</v>
      </c>
      <c r="F2286" t="str">
        <f>"0002594"</f>
        <v>0002594</v>
      </c>
      <c r="G2286">
        <v>1</v>
      </c>
      <c r="H2286" t="str">
        <f>"00000000"</f>
        <v>00000000</v>
      </c>
      <c r="I2286" t="s">
        <v>35</v>
      </c>
      <c r="J2286"/>
      <c r="K2286">
        <v>3.81</v>
      </c>
      <c r="L2286">
        <v>0.0</v>
      </c>
      <c r="M2286"/>
      <c r="N2286"/>
      <c r="O2286">
        <v>0.69</v>
      </c>
      <c r="P2286">
        <v>0.0</v>
      </c>
      <c r="Q2286">
        <v>4.5</v>
      </c>
      <c r="R2286"/>
      <c r="S2286"/>
      <c r="T2286"/>
      <c r="U2286"/>
      <c r="V2286"/>
      <c r="W2286">
        <v>18</v>
      </c>
    </row>
    <row r="2287" spans="1:23">
      <c r="A2287"/>
      <c r="B2287" t="s">
        <v>68</v>
      </c>
      <c r="C2287" t="s">
        <v>68</v>
      </c>
      <c r="D2287" t="s">
        <v>33</v>
      </c>
      <c r="E2287" t="s">
        <v>34</v>
      </c>
      <c r="F2287" t="str">
        <f>"0002595"</f>
        <v>0002595</v>
      </c>
      <c r="G2287">
        <v>1</v>
      </c>
      <c r="H2287" t="str">
        <f>"00000000"</f>
        <v>00000000</v>
      </c>
      <c r="I2287" t="s">
        <v>35</v>
      </c>
      <c r="J2287"/>
      <c r="K2287">
        <v>14.03</v>
      </c>
      <c r="L2287">
        <v>0.0</v>
      </c>
      <c r="M2287"/>
      <c r="N2287"/>
      <c r="O2287">
        <v>2.53</v>
      </c>
      <c r="P2287">
        <v>0.2</v>
      </c>
      <c r="Q2287">
        <v>16.76</v>
      </c>
      <c r="R2287"/>
      <c r="S2287"/>
      <c r="T2287"/>
      <c r="U2287"/>
      <c r="V2287"/>
      <c r="W2287">
        <v>18</v>
      </c>
    </row>
    <row r="2288" spans="1:23">
      <c r="A2288"/>
      <c r="B2288" t="s">
        <v>68</v>
      </c>
      <c r="C2288" t="s">
        <v>68</v>
      </c>
      <c r="D2288" t="s">
        <v>33</v>
      </c>
      <c r="E2288" t="s">
        <v>34</v>
      </c>
      <c r="F2288" t="str">
        <f>"0002596"</f>
        <v>0002596</v>
      </c>
      <c r="G2288">
        <v>1</v>
      </c>
      <c r="H2288" t="str">
        <f>"00000000"</f>
        <v>00000000</v>
      </c>
      <c r="I2288" t="s">
        <v>35</v>
      </c>
      <c r="J2288"/>
      <c r="K2288">
        <v>6.44</v>
      </c>
      <c r="L2288">
        <v>0.0</v>
      </c>
      <c r="M2288"/>
      <c r="N2288"/>
      <c r="O2288">
        <v>1.16</v>
      </c>
      <c r="P2288">
        <v>0.0</v>
      </c>
      <c r="Q2288">
        <v>7.6</v>
      </c>
      <c r="R2288"/>
      <c r="S2288"/>
      <c r="T2288"/>
      <c r="U2288"/>
      <c r="V2288"/>
      <c r="W2288">
        <v>18</v>
      </c>
    </row>
    <row r="2289" spans="1:23">
      <c r="A2289"/>
      <c r="B2289" t="s">
        <v>68</v>
      </c>
      <c r="C2289" t="s">
        <v>68</v>
      </c>
      <c r="D2289" t="s">
        <v>33</v>
      </c>
      <c r="E2289" t="s">
        <v>34</v>
      </c>
      <c r="F2289" t="str">
        <f>"0002597"</f>
        <v>0002597</v>
      </c>
      <c r="G2289">
        <v>1</v>
      </c>
      <c r="H2289" t="str">
        <f>"00000000"</f>
        <v>00000000</v>
      </c>
      <c r="I2289" t="s">
        <v>35</v>
      </c>
      <c r="J2289"/>
      <c r="K2289">
        <v>3.66</v>
      </c>
      <c r="L2289">
        <v>0.0</v>
      </c>
      <c r="M2289"/>
      <c r="N2289"/>
      <c r="O2289">
        <v>0.66</v>
      </c>
      <c r="P2289">
        <v>0.0</v>
      </c>
      <c r="Q2289">
        <v>4.32</v>
      </c>
      <c r="R2289"/>
      <c r="S2289"/>
      <c r="T2289"/>
      <c r="U2289"/>
      <c r="V2289"/>
      <c r="W2289">
        <v>18</v>
      </c>
    </row>
    <row r="2290" spans="1:23">
      <c r="A2290"/>
      <c r="B2290" t="s">
        <v>68</v>
      </c>
      <c r="C2290" t="s">
        <v>68</v>
      </c>
      <c r="D2290" t="s">
        <v>33</v>
      </c>
      <c r="E2290" t="s">
        <v>34</v>
      </c>
      <c r="F2290" t="str">
        <f>"0002598"</f>
        <v>0002598</v>
      </c>
      <c r="G2290">
        <v>1</v>
      </c>
      <c r="H2290" t="str">
        <f>"00000000"</f>
        <v>00000000</v>
      </c>
      <c r="I2290" t="s">
        <v>35</v>
      </c>
      <c r="J2290"/>
      <c r="K2290">
        <v>6.97</v>
      </c>
      <c r="L2290">
        <v>0.0</v>
      </c>
      <c r="M2290"/>
      <c r="N2290"/>
      <c r="O2290">
        <v>1.25</v>
      </c>
      <c r="P2290">
        <v>0.2</v>
      </c>
      <c r="Q2290">
        <v>8.42</v>
      </c>
      <c r="R2290"/>
      <c r="S2290"/>
      <c r="T2290"/>
      <c r="U2290"/>
      <c r="V2290"/>
      <c r="W2290">
        <v>18</v>
      </c>
    </row>
    <row r="2291" spans="1:23">
      <c r="A2291"/>
      <c r="B2291" t="s">
        <v>68</v>
      </c>
      <c r="C2291" t="s">
        <v>68</v>
      </c>
      <c r="D2291" t="s">
        <v>33</v>
      </c>
      <c r="E2291" t="s">
        <v>34</v>
      </c>
      <c r="F2291" t="str">
        <f>"0002599"</f>
        <v>0002599</v>
      </c>
      <c r="G2291">
        <v>1</v>
      </c>
      <c r="H2291" t="str">
        <f>"00000000"</f>
        <v>00000000</v>
      </c>
      <c r="I2291" t="s">
        <v>35</v>
      </c>
      <c r="J2291"/>
      <c r="K2291">
        <v>9.2</v>
      </c>
      <c r="L2291">
        <v>0.0</v>
      </c>
      <c r="M2291"/>
      <c r="N2291"/>
      <c r="O2291">
        <v>1.66</v>
      </c>
      <c r="P2291">
        <v>0.0</v>
      </c>
      <c r="Q2291">
        <v>10.86</v>
      </c>
      <c r="R2291"/>
      <c r="S2291"/>
      <c r="T2291"/>
      <c r="U2291"/>
      <c r="V2291"/>
      <c r="W2291">
        <v>18</v>
      </c>
    </row>
    <row r="2292" spans="1:23">
      <c r="A2292"/>
      <c r="B2292" t="s">
        <v>68</v>
      </c>
      <c r="C2292" t="s">
        <v>68</v>
      </c>
      <c r="D2292" t="s">
        <v>33</v>
      </c>
      <c r="E2292" t="s">
        <v>34</v>
      </c>
      <c r="F2292" t="str">
        <f>"0002600"</f>
        <v>0002600</v>
      </c>
      <c r="G2292">
        <v>1</v>
      </c>
      <c r="H2292" t="str">
        <f>"00000000"</f>
        <v>00000000</v>
      </c>
      <c r="I2292" t="s">
        <v>35</v>
      </c>
      <c r="J2292"/>
      <c r="K2292">
        <v>2.53</v>
      </c>
      <c r="L2292">
        <v>0.0</v>
      </c>
      <c r="M2292"/>
      <c r="N2292"/>
      <c r="O2292">
        <v>0.46</v>
      </c>
      <c r="P2292">
        <v>0.0</v>
      </c>
      <c r="Q2292">
        <v>2.99</v>
      </c>
      <c r="R2292"/>
      <c r="S2292"/>
      <c r="T2292"/>
      <c r="U2292"/>
      <c r="V2292"/>
      <c r="W2292">
        <v>18</v>
      </c>
    </row>
    <row r="2293" spans="1:23">
      <c r="A2293"/>
      <c r="B2293" t="s">
        <v>68</v>
      </c>
      <c r="C2293" t="s">
        <v>68</v>
      </c>
      <c r="D2293" t="s">
        <v>33</v>
      </c>
      <c r="E2293" t="s">
        <v>34</v>
      </c>
      <c r="F2293" t="str">
        <f>"0002601"</f>
        <v>0002601</v>
      </c>
      <c r="G2293">
        <v>1</v>
      </c>
      <c r="H2293" t="str">
        <f>"00000000"</f>
        <v>00000000</v>
      </c>
      <c r="I2293" t="s">
        <v>35</v>
      </c>
      <c r="J2293"/>
      <c r="K2293">
        <v>27.26</v>
      </c>
      <c r="L2293">
        <v>0.0</v>
      </c>
      <c r="M2293"/>
      <c r="N2293"/>
      <c r="O2293">
        <v>4.91</v>
      </c>
      <c r="P2293">
        <v>0.2</v>
      </c>
      <c r="Q2293">
        <v>32.37</v>
      </c>
      <c r="R2293"/>
      <c r="S2293"/>
      <c r="T2293"/>
      <c r="U2293"/>
      <c r="V2293"/>
      <c r="W2293">
        <v>18</v>
      </c>
    </row>
    <row r="2294" spans="1:23">
      <c r="A2294"/>
      <c r="B2294" t="s">
        <v>68</v>
      </c>
      <c r="C2294" t="s">
        <v>68</v>
      </c>
      <c r="D2294" t="s">
        <v>33</v>
      </c>
      <c r="E2294" t="s">
        <v>34</v>
      </c>
      <c r="F2294" t="str">
        <f>"0002602"</f>
        <v>0002602</v>
      </c>
      <c r="G2294">
        <v>1</v>
      </c>
      <c r="H2294" t="str">
        <f>"00000000"</f>
        <v>00000000</v>
      </c>
      <c r="I2294" t="s">
        <v>35</v>
      </c>
      <c r="J2294"/>
      <c r="K2294">
        <v>117.4</v>
      </c>
      <c r="L2294">
        <v>0.0</v>
      </c>
      <c r="M2294"/>
      <c r="N2294"/>
      <c r="O2294">
        <v>21.13</v>
      </c>
      <c r="P2294">
        <v>1.0</v>
      </c>
      <c r="Q2294">
        <v>139.53</v>
      </c>
      <c r="R2294"/>
      <c r="S2294"/>
      <c r="T2294"/>
      <c r="U2294"/>
      <c r="V2294"/>
      <c r="W2294">
        <v>18</v>
      </c>
    </row>
    <row r="2295" spans="1:23">
      <c r="A2295"/>
      <c r="B2295" t="s">
        <v>68</v>
      </c>
      <c r="C2295" t="s">
        <v>68</v>
      </c>
      <c r="D2295" t="s">
        <v>33</v>
      </c>
      <c r="E2295" t="s">
        <v>34</v>
      </c>
      <c r="F2295" t="str">
        <f>"0002603"</f>
        <v>0002603</v>
      </c>
      <c r="G2295">
        <v>1</v>
      </c>
      <c r="H2295" t="str">
        <f>"00000000"</f>
        <v>00000000</v>
      </c>
      <c r="I2295" t="s">
        <v>35</v>
      </c>
      <c r="J2295"/>
      <c r="K2295">
        <v>37.81</v>
      </c>
      <c r="L2295">
        <v>0.0</v>
      </c>
      <c r="M2295"/>
      <c r="N2295"/>
      <c r="O2295">
        <v>6.8</v>
      </c>
      <c r="P2295">
        <v>0.2</v>
      </c>
      <c r="Q2295">
        <v>44.81</v>
      </c>
      <c r="R2295"/>
      <c r="S2295"/>
      <c r="T2295"/>
      <c r="U2295"/>
      <c r="V2295"/>
      <c r="W2295">
        <v>18</v>
      </c>
    </row>
    <row r="2296" spans="1:23">
      <c r="A2296"/>
      <c r="B2296" t="s">
        <v>68</v>
      </c>
      <c r="C2296" t="s">
        <v>68</v>
      </c>
      <c r="D2296" t="s">
        <v>33</v>
      </c>
      <c r="E2296" t="s">
        <v>34</v>
      </c>
      <c r="F2296" t="str">
        <f>"0002604"</f>
        <v>0002604</v>
      </c>
      <c r="G2296">
        <v>1</v>
      </c>
      <c r="H2296" t="str">
        <f>"00000000"</f>
        <v>00000000</v>
      </c>
      <c r="I2296" t="s">
        <v>35</v>
      </c>
      <c r="J2296"/>
      <c r="K2296">
        <v>30.53</v>
      </c>
      <c r="L2296">
        <v>0.0</v>
      </c>
      <c r="M2296"/>
      <c r="N2296"/>
      <c r="O2296">
        <v>5.49</v>
      </c>
      <c r="P2296">
        <v>0.2</v>
      </c>
      <c r="Q2296">
        <v>36.22</v>
      </c>
      <c r="R2296"/>
      <c r="S2296"/>
      <c r="T2296"/>
      <c r="U2296"/>
      <c r="V2296"/>
      <c r="W2296">
        <v>18</v>
      </c>
    </row>
    <row r="2297" spans="1:23">
      <c r="A2297"/>
      <c r="B2297" t="s">
        <v>68</v>
      </c>
      <c r="C2297" t="s">
        <v>68</v>
      </c>
      <c r="D2297" t="s">
        <v>33</v>
      </c>
      <c r="E2297" t="s">
        <v>34</v>
      </c>
      <c r="F2297" t="str">
        <f>"0002605"</f>
        <v>0002605</v>
      </c>
      <c r="G2297">
        <v>1</v>
      </c>
      <c r="H2297" t="str">
        <f>"00000000"</f>
        <v>00000000</v>
      </c>
      <c r="I2297" t="s">
        <v>35</v>
      </c>
      <c r="J2297"/>
      <c r="K2297">
        <v>13.56</v>
      </c>
      <c r="L2297">
        <v>0.0</v>
      </c>
      <c r="M2297"/>
      <c r="N2297"/>
      <c r="O2297">
        <v>2.44</v>
      </c>
      <c r="P2297">
        <v>0.0</v>
      </c>
      <c r="Q2297">
        <v>16.0</v>
      </c>
      <c r="R2297"/>
      <c r="S2297"/>
      <c r="T2297"/>
      <c r="U2297"/>
      <c r="V2297"/>
      <c r="W2297">
        <v>18</v>
      </c>
    </row>
    <row r="2298" spans="1:23">
      <c r="A2298"/>
      <c r="B2298" t="s">
        <v>68</v>
      </c>
      <c r="C2298" t="s">
        <v>68</v>
      </c>
      <c r="D2298" t="s">
        <v>33</v>
      </c>
      <c r="E2298" t="s">
        <v>34</v>
      </c>
      <c r="F2298" t="str">
        <f>"0002606"</f>
        <v>0002606</v>
      </c>
      <c r="G2298">
        <v>1</v>
      </c>
      <c r="H2298" t="str">
        <f>"00000000"</f>
        <v>00000000</v>
      </c>
      <c r="I2298" t="s">
        <v>35</v>
      </c>
      <c r="J2298"/>
      <c r="K2298">
        <v>14.94</v>
      </c>
      <c r="L2298">
        <v>0.0</v>
      </c>
      <c r="M2298"/>
      <c r="N2298"/>
      <c r="O2298">
        <v>2.69</v>
      </c>
      <c r="P2298">
        <v>0.2</v>
      </c>
      <c r="Q2298">
        <v>17.83</v>
      </c>
      <c r="R2298"/>
      <c r="S2298"/>
      <c r="T2298"/>
      <c r="U2298"/>
      <c r="V2298"/>
      <c r="W2298">
        <v>18</v>
      </c>
    </row>
    <row r="2299" spans="1:23">
      <c r="A2299"/>
      <c r="B2299" t="s">
        <v>68</v>
      </c>
      <c r="C2299" t="s">
        <v>68</v>
      </c>
      <c r="D2299" t="s">
        <v>33</v>
      </c>
      <c r="E2299" t="s">
        <v>34</v>
      </c>
      <c r="F2299" t="str">
        <f>"0002607"</f>
        <v>0002607</v>
      </c>
      <c r="G2299">
        <v>1</v>
      </c>
      <c r="H2299" t="str">
        <f>"00000000"</f>
        <v>00000000</v>
      </c>
      <c r="I2299" t="s">
        <v>35</v>
      </c>
      <c r="J2299"/>
      <c r="K2299">
        <v>24.17</v>
      </c>
      <c r="L2299">
        <v>0.0</v>
      </c>
      <c r="M2299"/>
      <c r="N2299"/>
      <c r="O2299">
        <v>4.35</v>
      </c>
      <c r="P2299">
        <v>0.4</v>
      </c>
      <c r="Q2299">
        <v>28.91</v>
      </c>
      <c r="R2299"/>
      <c r="S2299"/>
      <c r="T2299"/>
      <c r="U2299"/>
      <c r="V2299"/>
      <c r="W2299">
        <v>18</v>
      </c>
    </row>
    <row r="2300" spans="1:23">
      <c r="A2300"/>
      <c r="B2300" t="s">
        <v>68</v>
      </c>
      <c r="C2300" t="s">
        <v>68</v>
      </c>
      <c r="D2300" t="s">
        <v>33</v>
      </c>
      <c r="E2300" t="s">
        <v>34</v>
      </c>
      <c r="F2300" t="str">
        <f>"0002608"</f>
        <v>0002608</v>
      </c>
      <c r="G2300">
        <v>1</v>
      </c>
      <c r="H2300" t="str">
        <f>"00000000"</f>
        <v>00000000</v>
      </c>
      <c r="I2300" t="s">
        <v>35</v>
      </c>
      <c r="J2300"/>
      <c r="K2300">
        <v>7.64</v>
      </c>
      <c r="L2300">
        <v>0.0</v>
      </c>
      <c r="M2300"/>
      <c r="N2300"/>
      <c r="O2300">
        <v>1.38</v>
      </c>
      <c r="P2300">
        <v>0.2</v>
      </c>
      <c r="Q2300">
        <v>9.22</v>
      </c>
      <c r="R2300"/>
      <c r="S2300"/>
      <c r="T2300"/>
      <c r="U2300"/>
      <c r="V2300"/>
      <c r="W2300">
        <v>18</v>
      </c>
    </row>
    <row r="2301" spans="1:23">
      <c r="A2301"/>
      <c r="B2301" t="s">
        <v>68</v>
      </c>
      <c r="C2301" t="s">
        <v>68</v>
      </c>
      <c r="D2301" t="s">
        <v>33</v>
      </c>
      <c r="E2301" t="s">
        <v>34</v>
      </c>
      <c r="F2301" t="str">
        <f>"0002609"</f>
        <v>0002609</v>
      </c>
      <c r="G2301">
        <v>1</v>
      </c>
      <c r="H2301" t="str">
        <f>"00000000"</f>
        <v>00000000</v>
      </c>
      <c r="I2301" t="s">
        <v>35</v>
      </c>
      <c r="J2301"/>
      <c r="K2301">
        <v>6.63</v>
      </c>
      <c r="L2301">
        <v>0.0</v>
      </c>
      <c r="M2301"/>
      <c r="N2301"/>
      <c r="O2301">
        <v>1.19</v>
      </c>
      <c r="P2301">
        <v>0.2</v>
      </c>
      <c r="Q2301">
        <v>8.02</v>
      </c>
      <c r="R2301"/>
      <c r="S2301"/>
      <c r="T2301"/>
      <c r="U2301"/>
      <c r="V2301"/>
      <c r="W2301">
        <v>18</v>
      </c>
    </row>
    <row r="2302" spans="1:23">
      <c r="A2302"/>
      <c r="B2302" t="s">
        <v>68</v>
      </c>
      <c r="C2302" t="s">
        <v>68</v>
      </c>
      <c r="D2302" t="s">
        <v>33</v>
      </c>
      <c r="E2302" t="s">
        <v>34</v>
      </c>
      <c r="F2302" t="str">
        <f>"0002610"</f>
        <v>0002610</v>
      </c>
      <c r="G2302">
        <v>1</v>
      </c>
      <c r="H2302" t="str">
        <f>"00000000"</f>
        <v>00000000</v>
      </c>
      <c r="I2302" t="s">
        <v>35</v>
      </c>
      <c r="J2302"/>
      <c r="K2302">
        <v>5.4</v>
      </c>
      <c r="L2302">
        <v>0.0</v>
      </c>
      <c r="M2302"/>
      <c r="N2302"/>
      <c r="O2302">
        <v>0.97</v>
      </c>
      <c r="P2302">
        <v>0.2</v>
      </c>
      <c r="Q2302">
        <v>6.57</v>
      </c>
      <c r="R2302"/>
      <c r="S2302"/>
      <c r="T2302"/>
      <c r="U2302"/>
      <c r="V2302"/>
      <c r="W2302">
        <v>18</v>
      </c>
    </row>
    <row r="2303" spans="1:23">
      <c r="A2303"/>
      <c r="B2303" t="s">
        <v>68</v>
      </c>
      <c r="C2303" t="s">
        <v>68</v>
      </c>
      <c r="D2303" t="s">
        <v>33</v>
      </c>
      <c r="E2303" t="s">
        <v>34</v>
      </c>
      <c r="F2303" t="str">
        <f>"0002611"</f>
        <v>0002611</v>
      </c>
      <c r="G2303">
        <v>1</v>
      </c>
      <c r="H2303" t="str">
        <f>"00000000"</f>
        <v>00000000</v>
      </c>
      <c r="I2303" t="s">
        <v>35</v>
      </c>
      <c r="J2303"/>
      <c r="K2303">
        <v>7.58</v>
      </c>
      <c r="L2303">
        <v>0.0</v>
      </c>
      <c r="M2303"/>
      <c r="N2303"/>
      <c r="O2303">
        <v>1.36</v>
      </c>
      <c r="P2303">
        <v>0.2</v>
      </c>
      <c r="Q2303">
        <v>9.14</v>
      </c>
      <c r="R2303"/>
      <c r="S2303"/>
      <c r="T2303"/>
      <c r="U2303"/>
      <c r="V2303"/>
      <c r="W2303">
        <v>18</v>
      </c>
    </row>
    <row r="2304" spans="1:23">
      <c r="A2304"/>
      <c r="B2304" t="s">
        <v>68</v>
      </c>
      <c r="C2304" t="s">
        <v>68</v>
      </c>
      <c r="D2304" t="s">
        <v>33</v>
      </c>
      <c r="E2304" t="s">
        <v>34</v>
      </c>
      <c r="F2304" t="str">
        <f>"0002612"</f>
        <v>0002612</v>
      </c>
      <c r="G2304">
        <v>1</v>
      </c>
      <c r="H2304" t="str">
        <f>"00000000"</f>
        <v>00000000</v>
      </c>
      <c r="I2304" t="s">
        <v>35</v>
      </c>
      <c r="J2304"/>
      <c r="K2304">
        <v>28.99</v>
      </c>
      <c r="L2304">
        <v>0.0</v>
      </c>
      <c r="M2304"/>
      <c r="N2304"/>
      <c r="O2304">
        <v>5.22</v>
      </c>
      <c r="P2304">
        <v>0.2</v>
      </c>
      <c r="Q2304">
        <v>34.41</v>
      </c>
      <c r="R2304"/>
      <c r="S2304"/>
      <c r="T2304"/>
      <c r="U2304"/>
      <c r="V2304"/>
      <c r="W2304">
        <v>18</v>
      </c>
    </row>
    <row r="2305" spans="1:23">
      <c r="A2305"/>
      <c r="B2305" t="s">
        <v>68</v>
      </c>
      <c r="C2305" t="s">
        <v>68</v>
      </c>
      <c r="D2305" t="s">
        <v>33</v>
      </c>
      <c r="E2305" t="s">
        <v>34</v>
      </c>
      <c r="F2305" t="str">
        <f>"0002613"</f>
        <v>0002613</v>
      </c>
      <c r="G2305">
        <v>1</v>
      </c>
      <c r="H2305" t="str">
        <f>"00000000"</f>
        <v>00000000</v>
      </c>
      <c r="I2305" t="s">
        <v>35</v>
      </c>
      <c r="J2305"/>
      <c r="K2305">
        <v>6.88</v>
      </c>
      <c r="L2305">
        <v>0.0</v>
      </c>
      <c r="M2305"/>
      <c r="N2305"/>
      <c r="O2305">
        <v>1.24</v>
      </c>
      <c r="P2305">
        <v>0.2</v>
      </c>
      <c r="Q2305">
        <v>8.32</v>
      </c>
      <c r="R2305"/>
      <c r="S2305"/>
      <c r="T2305"/>
      <c r="U2305"/>
      <c r="V2305"/>
      <c r="W2305">
        <v>18</v>
      </c>
    </row>
    <row r="2306" spans="1:23">
      <c r="A2306"/>
      <c r="B2306" t="s">
        <v>68</v>
      </c>
      <c r="C2306" t="s">
        <v>68</v>
      </c>
      <c r="D2306" t="s">
        <v>33</v>
      </c>
      <c r="E2306" t="s">
        <v>34</v>
      </c>
      <c r="F2306" t="str">
        <f>"0002614"</f>
        <v>0002614</v>
      </c>
      <c r="G2306">
        <v>1</v>
      </c>
      <c r="H2306" t="str">
        <f>"00000000"</f>
        <v>00000000</v>
      </c>
      <c r="I2306" t="s">
        <v>35</v>
      </c>
      <c r="J2306"/>
      <c r="K2306">
        <v>6.78</v>
      </c>
      <c r="L2306">
        <v>0.0</v>
      </c>
      <c r="M2306"/>
      <c r="N2306"/>
      <c r="O2306">
        <v>1.22</v>
      </c>
      <c r="P2306">
        <v>0.0</v>
      </c>
      <c r="Q2306">
        <v>8.0</v>
      </c>
      <c r="R2306"/>
      <c r="S2306"/>
      <c r="T2306"/>
      <c r="U2306"/>
      <c r="V2306"/>
      <c r="W2306">
        <v>18</v>
      </c>
    </row>
    <row r="2307" spans="1:23">
      <c r="A2307"/>
      <c r="B2307" t="s">
        <v>68</v>
      </c>
      <c r="C2307" t="s">
        <v>68</v>
      </c>
      <c r="D2307" t="s">
        <v>33</v>
      </c>
      <c r="E2307" t="s">
        <v>34</v>
      </c>
      <c r="F2307" t="str">
        <f>"0002615"</f>
        <v>0002615</v>
      </c>
      <c r="G2307">
        <v>1</v>
      </c>
      <c r="H2307" t="str">
        <f>"00000000"</f>
        <v>00000000</v>
      </c>
      <c r="I2307" t="s">
        <v>35</v>
      </c>
      <c r="J2307"/>
      <c r="K2307">
        <v>37.39</v>
      </c>
      <c r="L2307">
        <v>0.0</v>
      </c>
      <c r="M2307"/>
      <c r="N2307"/>
      <c r="O2307">
        <v>6.73</v>
      </c>
      <c r="P2307">
        <v>0.2</v>
      </c>
      <c r="Q2307">
        <v>44.32</v>
      </c>
      <c r="R2307"/>
      <c r="S2307"/>
      <c r="T2307"/>
      <c r="U2307"/>
      <c r="V2307"/>
      <c r="W2307">
        <v>18</v>
      </c>
    </row>
    <row r="2308" spans="1:23">
      <c r="A2308"/>
      <c r="B2308" t="s">
        <v>68</v>
      </c>
      <c r="C2308" t="s">
        <v>68</v>
      </c>
      <c r="D2308" t="s">
        <v>33</v>
      </c>
      <c r="E2308" t="s">
        <v>34</v>
      </c>
      <c r="F2308" t="str">
        <f>"0002616"</f>
        <v>0002616</v>
      </c>
      <c r="G2308">
        <v>1</v>
      </c>
      <c r="H2308" t="str">
        <f>"00000000"</f>
        <v>00000000</v>
      </c>
      <c r="I2308" t="s">
        <v>35</v>
      </c>
      <c r="J2308"/>
      <c r="K2308">
        <v>9.24</v>
      </c>
      <c r="L2308">
        <v>0.0</v>
      </c>
      <c r="M2308"/>
      <c r="N2308"/>
      <c r="O2308">
        <v>1.66</v>
      </c>
      <c r="P2308">
        <v>0.0</v>
      </c>
      <c r="Q2308">
        <v>10.9</v>
      </c>
      <c r="R2308"/>
      <c r="S2308"/>
      <c r="T2308"/>
      <c r="U2308"/>
      <c r="V2308"/>
      <c r="W2308">
        <v>18</v>
      </c>
    </row>
    <row r="2309" spans="1:23">
      <c r="A2309"/>
      <c r="B2309" t="s">
        <v>68</v>
      </c>
      <c r="C2309" t="s">
        <v>68</v>
      </c>
      <c r="D2309" t="s">
        <v>33</v>
      </c>
      <c r="E2309" t="s">
        <v>34</v>
      </c>
      <c r="F2309" t="str">
        <f>"0002617"</f>
        <v>0002617</v>
      </c>
      <c r="G2309">
        <v>1</v>
      </c>
      <c r="H2309" t="str">
        <f>"00000000"</f>
        <v>00000000</v>
      </c>
      <c r="I2309" t="s">
        <v>35</v>
      </c>
      <c r="J2309"/>
      <c r="K2309">
        <v>6.03</v>
      </c>
      <c r="L2309">
        <v>0.0</v>
      </c>
      <c r="M2309"/>
      <c r="N2309"/>
      <c r="O2309">
        <v>1.09</v>
      </c>
      <c r="P2309">
        <v>0.2</v>
      </c>
      <c r="Q2309">
        <v>7.32</v>
      </c>
      <c r="R2309"/>
      <c r="S2309"/>
      <c r="T2309"/>
      <c r="U2309"/>
      <c r="V2309"/>
      <c r="W2309">
        <v>18</v>
      </c>
    </row>
    <row r="2310" spans="1:23">
      <c r="A2310"/>
      <c r="B2310" t="s">
        <v>68</v>
      </c>
      <c r="C2310" t="s">
        <v>68</v>
      </c>
      <c r="D2310" t="s">
        <v>33</v>
      </c>
      <c r="E2310" t="s">
        <v>34</v>
      </c>
      <c r="F2310" t="str">
        <f>"0002618"</f>
        <v>0002618</v>
      </c>
      <c r="G2310">
        <v>1</v>
      </c>
      <c r="H2310" t="str">
        <f>"00000000"</f>
        <v>00000000</v>
      </c>
      <c r="I2310" t="s">
        <v>35</v>
      </c>
      <c r="J2310"/>
      <c r="K2310">
        <v>4.96</v>
      </c>
      <c r="L2310">
        <v>0.0</v>
      </c>
      <c r="M2310"/>
      <c r="N2310"/>
      <c r="O2310">
        <v>0.89</v>
      </c>
      <c r="P2310">
        <v>0.0</v>
      </c>
      <c r="Q2310">
        <v>5.85</v>
      </c>
      <c r="R2310"/>
      <c r="S2310"/>
      <c r="T2310"/>
      <c r="U2310"/>
      <c r="V2310"/>
      <c r="W2310">
        <v>18</v>
      </c>
    </row>
    <row r="2311" spans="1:23">
      <c r="A2311"/>
      <c r="B2311" t="s">
        <v>68</v>
      </c>
      <c r="C2311" t="s">
        <v>68</v>
      </c>
      <c r="D2311" t="s">
        <v>33</v>
      </c>
      <c r="E2311" t="s">
        <v>34</v>
      </c>
      <c r="F2311" t="str">
        <f>"0002619"</f>
        <v>0002619</v>
      </c>
      <c r="G2311">
        <v>1</v>
      </c>
      <c r="H2311" t="str">
        <f>"00000000"</f>
        <v>00000000</v>
      </c>
      <c r="I2311" t="s">
        <v>35</v>
      </c>
      <c r="J2311"/>
      <c r="K2311">
        <v>4.66</v>
      </c>
      <c r="L2311">
        <v>0.0</v>
      </c>
      <c r="M2311"/>
      <c r="N2311"/>
      <c r="O2311">
        <v>0.84</v>
      </c>
      <c r="P2311">
        <v>0.0</v>
      </c>
      <c r="Q2311">
        <v>5.5</v>
      </c>
      <c r="R2311"/>
      <c r="S2311"/>
      <c r="T2311"/>
      <c r="U2311"/>
      <c r="V2311"/>
      <c r="W2311">
        <v>18</v>
      </c>
    </row>
    <row r="2312" spans="1:23">
      <c r="A2312"/>
      <c r="B2312" t="s">
        <v>68</v>
      </c>
      <c r="C2312" t="s">
        <v>68</v>
      </c>
      <c r="D2312" t="s">
        <v>33</v>
      </c>
      <c r="E2312" t="s">
        <v>34</v>
      </c>
      <c r="F2312" t="str">
        <f>"0002620"</f>
        <v>0002620</v>
      </c>
      <c r="G2312">
        <v>1</v>
      </c>
      <c r="H2312" t="str">
        <f>"00000000"</f>
        <v>00000000</v>
      </c>
      <c r="I2312" t="s">
        <v>35</v>
      </c>
      <c r="J2312"/>
      <c r="K2312">
        <v>41.9</v>
      </c>
      <c r="L2312">
        <v>0.0</v>
      </c>
      <c r="M2312"/>
      <c r="N2312"/>
      <c r="O2312">
        <v>7.54</v>
      </c>
      <c r="P2312">
        <v>0.2</v>
      </c>
      <c r="Q2312">
        <v>49.64</v>
      </c>
      <c r="R2312"/>
      <c r="S2312"/>
      <c r="T2312"/>
      <c r="U2312"/>
      <c r="V2312"/>
      <c r="W2312">
        <v>18</v>
      </c>
    </row>
    <row r="2313" spans="1:23">
      <c r="A2313"/>
      <c r="B2313" t="s">
        <v>68</v>
      </c>
      <c r="C2313" t="s">
        <v>68</v>
      </c>
      <c r="D2313" t="s">
        <v>33</v>
      </c>
      <c r="E2313" t="s">
        <v>34</v>
      </c>
      <c r="F2313" t="str">
        <f>"0002621"</f>
        <v>0002621</v>
      </c>
      <c r="G2313">
        <v>1</v>
      </c>
      <c r="H2313" t="str">
        <f>"00000000"</f>
        <v>00000000</v>
      </c>
      <c r="I2313" t="s">
        <v>35</v>
      </c>
      <c r="J2313"/>
      <c r="K2313">
        <v>10.08</v>
      </c>
      <c r="L2313">
        <v>0.0</v>
      </c>
      <c r="M2313"/>
      <c r="N2313"/>
      <c r="O2313">
        <v>1.82</v>
      </c>
      <c r="P2313">
        <v>0.0</v>
      </c>
      <c r="Q2313">
        <v>11.9</v>
      </c>
      <c r="R2313"/>
      <c r="S2313"/>
      <c r="T2313"/>
      <c r="U2313"/>
      <c r="V2313"/>
      <c r="W2313">
        <v>18</v>
      </c>
    </row>
    <row r="2314" spans="1:23">
      <c r="A2314"/>
      <c r="B2314" t="s">
        <v>68</v>
      </c>
      <c r="C2314" t="s">
        <v>68</v>
      </c>
      <c r="D2314" t="s">
        <v>33</v>
      </c>
      <c r="E2314" t="s">
        <v>34</v>
      </c>
      <c r="F2314" t="str">
        <f>"0002622"</f>
        <v>0002622</v>
      </c>
      <c r="G2314">
        <v>1</v>
      </c>
      <c r="H2314" t="str">
        <f>"00000000"</f>
        <v>00000000</v>
      </c>
      <c r="I2314" t="s">
        <v>35</v>
      </c>
      <c r="J2314"/>
      <c r="K2314">
        <v>6.8</v>
      </c>
      <c r="L2314">
        <v>0.0</v>
      </c>
      <c r="M2314"/>
      <c r="N2314"/>
      <c r="O2314">
        <v>1.22</v>
      </c>
      <c r="P2314">
        <v>0.2</v>
      </c>
      <c r="Q2314">
        <v>8.22</v>
      </c>
      <c r="R2314"/>
      <c r="S2314"/>
      <c r="T2314"/>
      <c r="U2314"/>
      <c r="V2314"/>
      <c r="W2314">
        <v>18</v>
      </c>
    </row>
    <row r="2315" spans="1:23">
      <c r="A2315"/>
      <c r="B2315" t="s">
        <v>68</v>
      </c>
      <c r="C2315" t="s">
        <v>68</v>
      </c>
      <c r="D2315" t="s">
        <v>33</v>
      </c>
      <c r="E2315" t="s">
        <v>34</v>
      </c>
      <c r="F2315" t="str">
        <f>"0002623"</f>
        <v>0002623</v>
      </c>
      <c r="G2315">
        <v>1</v>
      </c>
      <c r="H2315" t="str">
        <f>"00000000"</f>
        <v>00000000</v>
      </c>
      <c r="I2315" t="s">
        <v>35</v>
      </c>
      <c r="J2315"/>
      <c r="K2315">
        <v>74.85</v>
      </c>
      <c r="L2315">
        <v>0.0</v>
      </c>
      <c r="M2315"/>
      <c r="N2315"/>
      <c r="O2315">
        <v>13.47</v>
      </c>
      <c r="P2315">
        <v>0.2</v>
      </c>
      <c r="Q2315">
        <v>88.52</v>
      </c>
      <c r="R2315"/>
      <c r="S2315"/>
      <c r="T2315"/>
      <c r="U2315"/>
      <c r="V2315"/>
      <c r="W2315">
        <v>18</v>
      </c>
    </row>
    <row r="2316" spans="1:23">
      <c r="A2316"/>
      <c r="B2316" t="s">
        <v>68</v>
      </c>
      <c r="C2316" t="s">
        <v>68</v>
      </c>
      <c r="D2316" t="s">
        <v>33</v>
      </c>
      <c r="E2316" t="s">
        <v>34</v>
      </c>
      <c r="F2316" t="str">
        <f>"0002624"</f>
        <v>0002624</v>
      </c>
      <c r="G2316">
        <v>1</v>
      </c>
      <c r="H2316" t="str">
        <f>"00000000"</f>
        <v>00000000</v>
      </c>
      <c r="I2316" t="s">
        <v>35</v>
      </c>
      <c r="J2316"/>
      <c r="K2316">
        <v>2.12</v>
      </c>
      <c r="L2316">
        <v>0.0</v>
      </c>
      <c r="M2316"/>
      <c r="N2316"/>
      <c r="O2316">
        <v>0.38</v>
      </c>
      <c r="P2316">
        <v>0.0</v>
      </c>
      <c r="Q2316">
        <v>2.5</v>
      </c>
      <c r="R2316"/>
      <c r="S2316"/>
      <c r="T2316"/>
      <c r="U2316"/>
      <c r="V2316"/>
      <c r="W2316">
        <v>18</v>
      </c>
    </row>
    <row r="2317" spans="1:23">
      <c r="A2317"/>
      <c r="B2317" t="s">
        <v>68</v>
      </c>
      <c r="C2317" t="s">
        <v>68</v>
      </c>
      <c r="D2317" t="s">
        <v>33</v>
      </c>
      <c r="E2317" t="s">
        <v>34</v>
      </c>
      <c r="F2317" t="str">
        <f>"0002625"</f>
        <v>0002625</v>
      </c>
      <c r="G2317">
        <v>1</v>
      </c>
      <c r="H2317" t="str">
        <f>"00000000"</f>
        <v>00000000</v>
      </c>
      <c r="I2317" t="s">
        <v>35</v>
      </c>
      <c r="J2317"/>
      <c r="K2317">
        <v>8.9</v>
      </c>
      <c r="L2317">
        <v>0.0</v>
      </c>
      <c r="M2317"/>
      <c r="N2317"/>
      <c r="O2317">
        <v>1.6</v>
      </c>
      <c r="P2317">
        <v>0.0</v>
      </c>
      <c r="Q2317">
        <v>10.5</v>
      </c>
      <c r="R2317"/>
      <c r="S2317"/>
      <c r="T2317"/>
      <c r="U2317"/>
      <c r="V2317"/>
      <c r="W2317">
        <v>18</v>
      </c>
    </row>
    <row r="2318" spans="1:23">
      <c r="A2318"/>
      <c r="B2318" t="s">
        <v>68</v>
      </c>
      <c r="C2318" t="s">
        <v>68</v>
      </c>
      <c r="D2318" t="s">
        <v>33</v>
      </c>
      <c r="E2318" t="s">
        <v>34</v>
      </c>
      <c r="F2318" t="str">
        <f>"0002626"</f>
        <v>0002626</v>
      </c>
      <c r="G2318">
        <v>1</v>
      </c>
      <c r="H2318" t="str">
        <f>"00000000"</f>
        <v>00000000</v>
      </c>
      <c r="I2318" t="s">
        <v>35</v>
      </c>
      <c r="J2318"/>
      <c r="K2318">
        <v>9.24</v>
      </c>
      <c r="L2318">
        <v>0.0</v>
      </c>
      <c r="M2318"/>
      <c r="N2318"/>
      <c r="O2318">
        <v>1.66</v>
      </c>
      <c r="P2318">
        <v>0.0</v>
      </c>
      <c r="Q2318">
        <v>10.9</v>
      </c>
      <c r="R2318"/>
      <c r="S2318"/>
      <c r="T2318"/>
      <c r="U2318"/>
      <c r="V2318"/>
      <c r="W2318">
        <v>18</v>
      </c>
    </row>
    <row r="2319" spans="1:23">
      <c r="A2319"/>
      <c r="B2319" t="s">
        <v>68</v>
      </c>
      <c r="C2319" t="s">
        <v>68</v>
      </c>
      <c r="D2319" t="s">
        <v>33</v>
      </c>
      <c r="E2319" t="s">
        <v>34</v>
      </c>
      <c r="F2319" t="str">
        <f>"0002627"</f>
        <v>0002627</v>
      </c>
      <c r="G2319">
        <v>1</v>
      </c>
      <c r="H2319" t="str">
        <f>"00000000"</f>
        <v>00000000</v>
      </c>
      <c r="I2319" t="s">
        <v>35</v>
      </c>
      <c r="J2319"/>
      <c r="K2319">
        <v>0.02</v>
      </c>
      <c r="L2319">
        <v>0.0</v>
      </c>
      <c r="M2319"/>
      <c r="N2319"/>
      <c r="O2319">
        <v>0.0</v>
      </c>
      <c r="P2319">
        <v>0.2</v>
      </c>
      <c r="Q2319">
        <v>0.22</v>
      </c>
      <c r="R2319"/>
      <c r="S2319"/>
      <c r="T2319"/>
      <c r="U2319"/>
      <c r="V2319"/>
      <c r="W2319">
        <v>18</v>
      </c>
    </row>
    <row r="2320" spans="1:23">
      <c r="A2320"/>
      <c r="B2320" t="s">
        <v>68</v>
      </c>
      <c r="C2320" t="s">
        <v>68</v>
      </c>
      <c r="D2320" t="s">
        <v>36</v>
      </c>
      <c r="E2320" t="s">
        <v>37</v>
      </c>
      <c r="F2320" t="str">
        <f>"0000037"</f>
        <v>0000037</v>
      </c>
      <c r="G2320">
        <v>6</v>
      </c>
      <c r="H2320" t="str">
        <f>"20480328427"</f>
        <v>20480328427</v>
      </c>
      <c r="I2320" t="s">
        <v>70</v>
      </c>
      <c r="J2320"/>
      <c r="K2320">
        <v>16.95</v>
      </c>
      <c r="L2320">
        <v>0.0</v>
      </c>
      <c r="M2320"/>
      <c r="N2320"/>
      <c r="O2320">
        <v>3.05</v>
      </c>
      <c r="P2320">
        <v>0.0</v>
      </c>
      <c r="Q2320">
        <v>20.0</v>
      </c>
      <c r="R2320"/>
      <c r="S2320"/>
      <c r="T2320"/>
      <c r="U2320"/>
      <c r="V2320"/>
      <c r="W2320">
        <v>18</v>
      </c>
    </row>
    <row r="2321" spans="1:23">
      <c r="A2321"/>
      <c r="B2321" t="s">
        <v>68</v>
      </c>
      <c r="C2321" t="s">
        <v>68</v>
      </c>
      <c r="D2321" t="s">
        <v>33</v>
      </c>
      <c r="E2321" t="s">
        <v>34</v>
      </c>
      <c r="F2321" t="str">
        <f>"0002628"</f>
        <v>0002628</v>
      </c>
      <c r="G2321">
        <v>1</v>
      </c>
      <c r="H2321" t="str">
        <f>"00000000"</f>
        <v>00000000</v>
      </c>
      <c r="I2321" t="s">
        <v>35</v>
      </c>
      <c r="J2321"/>
      <c r="K2321">
        <v>6.36</v>
      </c>
      <c r="L2321">
        <v>0.0</v>
      </c>
      <c r="M2321"/>
      <c r="N2321"/>
      <c r="O2321">
        <v>1.14</v>
      </c>
      <c r="P2321">
        <v>0.0</v>
      </c>
      <c r="Q2321">
        <v>7.5</v>
      </c>
      <c r="R2321"/>
      <c r="S2321"/>
      <c r="T2321"/>
      <c r="U2321"/>
      <c r="V2321"/>
      <c r="W2321">
        <v>18</v>
      </c>
    </row>
    <row r="2322" spans="1:23">
      <c r="A2322"/>
      <c r="B2322" t="s">
        <v>68</v>
      </c>
      <c r="C2322" t="s">
        <v>68</v>
      </c>
      <c r="D2322" t="s">
        <v>33</v>
      </c>
      <c r="E2322" t="s">
        <v>34</v>
      </c>
      <c r="F2322" t="str">
        <f>"0002629"</f>
        <v>0002629</v>
      </c>
      <c r="G2322">
        <v>1</v>
      </c>
      <c r="H2322" t="str">
        <f>"00000000"</f>
        <v>00000000</v>
      </c>
      <c r="I2322" t="s">
        <v>35</v>
      </c>
      <c r="J2322"/>
      <c r="K2322">
        <v>17.8</v>
      </c>
      <c r="L2322">
        <v>0.0</v>
      </c>
      <c r="M2322"/>
      <c r="N2322"/>
      <c r="O2322">
        <v>3.2</v>
      </c>
      <c r="P2322">
        <v>0.0</v>
      </c>
      <c r="Q2322">
        <v>21.0</v>
      </c>
      <c r="R2322"/>
      <c r="S2322"/>
      <c r="T2322"/>
      <c r="U2322"/>
      <c r="V2322"/>
      <c r="W2322">
        <v>18</v>
      </c>
    </row>
    <row r="2323" spans="1:23">
      <c r="A2323"/>
      <c r="B2323" t="s">
        <v>68</v>
      </c>
      <c r="C2323" t="s">
        <v>68</v>
      </c>
      <c r="D2323" t="s">
        <v>33</v>
      </c>
      <c r="E2323" t="s">
        <v>34</v>
      </c>
      <c r="F2323" t="str">
        <f>"0002630"</f>
        <v>0002630</v>
      </c>
      <c r="G2323">
        <v>1</v>
      </c>
      <c r="H2323" t="str">
        <f>"00000000"</f>
        <v>00000000</v>
      </c>
      <c r="I2323" t="s">
        <v>35</v>
      </c>
      <c r="J2323"/>
      <c r="K2323">
        <v>13.66</v>
      </c>
      <c r="L2323">
        <v>0.0</v>
      </c>
      <c r="M2323"/>
      <c r="N2323"/>
      <c r="O2323">
        <v>2.46</v>
      </c>
      <c r="P2323">
        <v>0.2</v>
      </c>
      <c r="Q2323">
        <v>16.32</v>
      </c>
      <c r="R2323"/>
      <c r="S2323"/>
      <c r="T2323"/>
      <c r="U2323"/>
      <c r="V2323"/>
      <c r="W2323">
        <v>18</v>
      </c>
    </row>
    <row r="2324" spans="1:23">
      <c r="A2324"/>
      <c r="B2324" t="s">
        <v>68</v>
      </c>
      <c r="C2324" t="s">
        <v>68</v>
      </c>
      <c r="D2324" t="s">
        <v>33</v>
      </c>
      <c r="E2324" t="s">
        <v>34</v>
      </c>
      <c r="F2324" t="str">
        <f>"0002631"</f>
        <v>0002631</v>
      </c>
      <c r="G2324">
        <v>1</v>
      </c>
      <c r="H2324" t="str">
        <f>"00000000"</f>
        <v>00000000</v>
      </c>
      <c r="I2324" t="s">
        <v>35</v>
      </c>
      <c r="J2324"/>
      <c r="K2324">
        <v>27.05</v>
      </c>
      <c r="L2324">
        <v>0.0</v>
      </c>
      <c r="M2324"/>
      <c r="N2324"/>
      <c r="O2324">
        <v>4.87</v>
      </c>
      <c r="P2324">
        <v>0.2</v>
      </c>
      <c r="Q2324">
        <v>32.12</v>
      </c>
      <c r="R2324"/>
      <c r="S2324"/>
      <c r="T2324"/>
      <c r="U2324"/>
      <c r="V2324"/>
      <c r="W2324">
        <v>18</v>
      </c>
    </row>
    <row r="2325" spans="1:23">
      <c r="A2325"/>
      <c r="B2325" t="s">
        <v>68</v>
      </c>
      <c r="C2325" t="s">
        <v>68</v>
      </c>
      <c r="D2325" t="s">
        <v>33</v>
      </c>
      <c r="E2325" t="s">
        <v>34</v>
      </c>
      <c r="F2325" t="str">
        <f>"0002632"</f>
        <v>0002632</v>
      </c>
      <c r="G2325">
        <v>1</v>
      </c>
      <c r="H2325" t="str">
        <f>"00000000"</f>
        <v>00000000</v>
      </c>
      <c r="I2325" t="s">
        <v>35</v>
      </c>
      <c r="J2325"/>
      <c r="K2325">
        <v>5.93</v>
      </c>
      <c r="L2325">
        <v>0.0</v>
      </c>
      <c r="M2325"/>
      <c r="N2325"/>
      <c r="O2325">
        <v>1.07</v>
      </c>
      <c r="P2325">
        <v>0.0</v>
      </c>
      <c r="Q2325">
        <v>7.0</v>
      </c>
      <c r="R2325"/>
      <c r="S2325"/>
      <c r="T2325"/>
      <c r="U2325"/>
      <c r="V2325"/>
      <c r="W2325">
        <v>18</v>
      </c>
    </row>
    <row r="2326" spans="1:23">
      <c r="A2326"/>
      <c r="B2326" t="s">
        <v>68</v>
      </c>
      <c r="C2326" t="s">
        <v>68</v>
      </c>
      <c r="D2326" t="s">
        <v>33</v>
      </c>
      <c r="E2326" t="s">
        <v>34</v>
      </c>
      <c r="F2326" t="str">
        <f>"0002633"</f>
        <v>0002633</v>
      </c>
      <c r="G2326">
        <v>1</v>
      </c>
      <c r="H2326" t="str">
        <f>"00000000"</f>
        <v>00000000</v>
      </c>
      <c r="I2326" t="s">
        <v>35</v>
      </c>
      <c r="J2326"/>
      <c r="K2326">
        <v>48.08</v>
      </c>
      <c r="L2326">
        <v>0.0</v>
      </c>
      <c r="M2326"/>
      <c r="N2326"/>
      <c r="O2326">
        <v>8.66</v>
      </c>
      <c r="P2326">
        <v>0.4</v>
      </c>
      <c r="Q2326">
        <v>57.14</v>
      </c>
      <c r="R2326"/>
      <c r="S2326"/>
      <c r="T2326"/>
      <c r="U2326"/>
      <c r="V2326"/>
      <c r="W2326">
        <v>18</v>
      </c>
    </row>
    <row r="2327" spans="1:23">
      <c r="A2327"/>
      <c r="B2327" t="s">
        <v>68</v>
      </c>
      <c r="C2327" t="s">
        <v>68</v>
      </c>
      <c r="D2327" t="s">
        <v>33</v>
      </c>
      <c r="E2327" t="s">
        <v>34</v>
      </c>
      <c r="F2327" t="str">
        <f>"0002634"</f>
        <v>0002634</v>
      </c>
      <c r="G2327">
        <v>1</v>
      </c>
      <c r="H2327" t="str">
        <f>"00000000"</f>
        <v>00000000</v>
      </c>
      <c r="I2327" t="s">
        <v>35</v>
      </c>
      <c r="J2327"/>
      <c r="K2327">
        <v>15.86</v>
      </c>
      <c r="L2327">
        <v>0.0</v>
      </c>
      <c r="M2327"/>
      <c r="N2327"/>
      <c r="O2327">
        <v>2.85</v>
      </c>
      <c r="P2327">
        <v>0.2</v>
      </c>
      <c r="Q2327">
        <v>18.91</v>
      </c>
      <c r="R2327"/>
      <c r="S2327"/>
      <c r="T2327"/>
      <c r="U2327"/>
      <c r="V2327"/>
      <c r="W2327">
        <v>18</v>
      </c>
    </row>
    <row r="2328" spans="1:23">
      <c r="A2328"/>
      <c r="B2328" t="s">
        <v>68</v>
      </c>
      <c r="C2328" t="s">
        <v>68</v>
      </c>
      <c r="D2328" t="s">
        <v>33</v>
      </c>
      <c r="E2328" t="s">
        <v>34</v>
      </c>
      <c r="F2328" t="str">
        <f>"0002635"</f>
        <v>0002635</v>
      </c>
      <c r="G2328">
        <v>1</v>
      </c>
      <c r="H2328" t="str">
        <f>"00000000"</f>
        <v>00000000</v>
      </c>
      <c r="I2328" t="s">
        <v>35</v>
      </c>
      <c r="J2328"/>
      <c r="K2328">
        <v>2.53</v>
      </c>
      <c r="L2328">
        <v>0.0</v>
      </c>
      <c r="M2328"/>
      <c r="N2328"/>
      <c r="O2328">
        <v>0.46</v>
      </c>
      <c r="P2328">
        <v>0.0</v>
      </c>
      <c r="Q2328">
        <v>2.99</v>
      </c>
      <c r="R2328"/>
      <c r="S2328"/>
      <c r="T2328"/>
      <c r="U2328"/>
      <c r="V2328"/>
      <c r="W2328">
        <v>18</v>
      </c>
    </row>
    <row r="2329" spans="1:23">
      <c r="A2329"/>
      <c r="B2329" t="s">
        <v>68</v>
      </c>
      <c r="C2329" t="s">
        <v>68</v>
      </c>
      <c r="D2329" t="s">
        <v>33</v>
      </c>
      <c r="E2329" t="s">
        <v>34</v>
      </c>
      <c r="F2329" t="str">
        <f>"0002636"</f>
        <v>0002636</v>
      </c>
      <c r="G2329">
        <v>1</v>
      </c>
      <c r="H2329" t="str">
        <f>"00000000"</f>
        <v>00000000</v>
      </c>
      <c r="I2329" t="s">
        <v>35</v>
      </c>
      <c r="J2329"/>
      <c r="K2329">
        <v>1.02</v>
      </c>
      <c r="L2329">
        <v>0.0</v>
      </c>
      <c r="M2329"/>
      <c r="N2329"/>
      <c r="O2329">
        <v>0.18</v>
      </c>
      <c r="P2329">
        <v>0.0</v>
      </c>
      <c r="Q2329">
        <v>1.2</v>
      </c>
      <c r="R2329"/>
      <c r="S2329"/>
      <c r="T2329"/>
      <c r="U2329"/>
      <c r="V2329"/>
      <c r="W2329">
        <v>18</v>
      </c>
    </row>
    <row r="2330" spans="1:23">
      <c r="A2330"/>
      <c r="B2330" t="s">
        <v>68</v>
      </c>
      <c r="C2330" t="s">
        <v>68</v>
      </c>
      <c r="D2330" t="s">
        <v>33</v>
      </c>
      <c r="E2330" t="s">
        <v>34</v>
      </c>
      <c r="F2330" t="str">
        <f>"0002637"</f>
        <v>0002637</v>
      </c>
      <c r="G2330">
        <v>1</v>
      </c>
      <c r="H2330" t="str">
        <f>"00000000"</f>
        <v>00000000</v>
      </c>
      <c r="I2330" t="s">
        <v>35</v>
      </c>
      <c r="J2330"/>
      <c r="K2330">
        <v>38.92</v>
      </c>
      <c r="L2330">
        <v>0.0</v>
      </c>
      <c r="M2330"/>
      <c r="N2330"/>
      <c r="O2330">
        <v>7.0</v>
      </c>
      <c r="P2330">
        <v>0.2</v>
      </c>
      <c r="Q2330">
        <v>46.12</v>
      </c>
      <c r="R2330"/>
      <c r="S2330"/>
      <c r="T2330"/>
      <c r="U2330"/>
      <c r="V2330"/>
      <c r="W2330">
        <v>18</v>
      </c>
    </row>
    <row r="2331" spans="1:23">
      <c r="A2331"/>
      <c r="B2331" t="s">
        <v>71</v>
      </c>
      <c r="C2331" t="s">
        <v>71</v>
      </c>
      <c r="D2331" t="s">
        <v>33</v>
      </c>
      <c r="E2331" t="s">
        <v>34</v>
      </c>
      <c r="F2331" t="str">
        <f>"0002638"</f>
        <v>0002638</v>
      </c>
      <c r="G2331">
        <v>1</v>
      </c>
      <c r="H2331" t="str">
        <f>"00000000"</f>
        <v>00000000</v>
      </c>
      <c r="I2331" t="s">
        <v>35</v>
      </c>
      <c r="J2331"/>
      <c r="K2331">
        <v>25.33</v>
      </c>
      <c r="L2331">
        <v>0.0</v>
      </c>
      <c r="M2331"/>
      <c r="N2331"/>
      <c r="O2331">
        <v>4.56</v>
      </c>
      <c r="P2331">
        <v>0.2</v>
      </c>
      <c r="Q2331">
        <v>30.1</v>
      </c>
      <c r="R2331"/>
      <c r="S2331"/>
      <c r="T2331"/>
      <c r="U2331"/>
      <c r="V2331"/>
      <c r="W2331">
        <v>18</v>
      </c>
    </row>
    <row r="2332" spans="1:23">
      <c r="A2332"/>
      <c r="B2332" t="s">
        <v>71</v>
      </c>
      <c r="C2332" t="s">
        <v>71</v>
      </c>
      <c r="D2332" t="s">
        <v>33</v>
      </c>
      <c r="E2332" t="s">
        <v>34</v>
      </c>
      <c r="F2332" t="str">
        <f>"0002639"</f>
        <v>0002639</v>
      </c>
      <c r="G2332">
        <v>1</v>
      </c>
      <c r="H2332" t="str">
        <f>"00000000"</f>
        <v>00000000</v>
      </c>
      <c r="I2332" t="s">
        <v>35</v>
      </c>
      <c r="J2332"/>
      <c r="K2332">
        <v>25.26</v>
      </c>
      <c r="L2332">
        <v>0.0</v>
      </c>
      <c r="M2332"/>
      <c r="N2332"/>
      <c r="O2332">
        <v>4.55</v>
      </c>
      <c r="P2332">
        <v>0.2</v>
      </c>
      <c r="Q2332">
        <v>30.0</v>
      </c>
      <c r="R2332"/>
      <c r="S2332"/>
      <c r="T2332"/>
      <c r="U2332"/>
      <c r="V2332"/>
      <c r="W2332">
        <v>18</v>
      </c>
    </row>
    <row r="2333" spans="1:23">
      <c r="A2333"/>
      <c r="B2333" t="s">
        <v>71</v>
      </c>
      <c r="C2333" t="s">
        <v>71</v>
      </c>
      <c r="D2333" t="s">
        <v>33</v>
      </c>
      <c r="E2333" t="s">
        <v>34</v>
      </c>
      <c r="F2333" t="str">
        <f>"0002640"</f>
        <v>0002640</v>
      </c>
      <c r="G2333">
        <v>1</v>
      </c>
      <c r="H2333" t="str">
        <f>"00000000"</f>
        <v>00000000</v>
      </c>
      <c r="I2333" t="s">
        <v>35</v>
      </c>
      <c r="J2333"/>
      <c r="K2333">
        <v>3.81</v>
      </c>
      <c r="L2333">
        <v>0.0</v>
      </c>
      <c r="M2333"/>
      <c r="N2333"/>
      <c r="O2333">
        <v>0.69</v>
      </c>
      <c r="P2333">
        <v>0.0</v>
      </c>
      <c r="Q2333">
        <v>4.5</v>
      </c>
      <c r="R2333"/>
      <c r="S2333"/>
      <c r="T2333"/>
      <c r="U2333"/>
      <c r="V2333"/>
      <c r="W2333">
        <v>18</v>
      </c>
    </row>
    <row r="2334" spans="1:23">
      <c r="A2334"/>
      <c r="B2334" t="s">
        <v>71</v>
      </c>
      <c r="C2334" t="s">
        <v>71</v>
      </c>
      <c r="D2334" t="s">
        <v>33</v>
      </c>
      <c r="E2334" t="s">
        <v>34</v>
      </c>
      <c r="F2334" t="str">
        <f>"0002641"</f>
        <v>0002641</v>
      </c>
      <c r="G2334">
        <v>1</v>
      </c>
      <c r="H2334" t="str">
        <f>"00000000"</f>
        <v>00000000</v>
      </c>
      <c r="I2334" t="s">
        <v>35</v>
      </c>
      <c r="J2334"/>
      <c r="K2334">
        <v>3.2</v>
      </c>
      <c r="L2334">
        <v>0.0</v>
      </c>
      <c r="M2334"/>
      <c r="N2334"/>
      <c r="O2334">
        <v>0.58</v>
      </c>
      <c r="P2334">
        <v>0.0</v>
      </c>
      <c r="Q2334">
        <v>3.78</v>
      </c>
      <c r="R2334"/>
      <c r="S2334"/>
      <c r="T2334"/>
      <c r="U2334"/>
      <c r="V2334"/>
      <c r="W2334">
        <v>18</v>
      </c>
    </row>
    <row r="2335" spans="1:23">
      <c r="A2335"/>
      <c r="B2335" t="s">
        <v>71</v>
      </c>
      <c r="C2335" t="s">
        <v>71</v>
      </c>
      <c r="D2335" t="s">
        <v>33</v>
      </c>
      <c r="E2335" t="s">
        <v>34</v>
      </c>
      <c r="F2335" t="str">
        <f>"0002642"</f>
        <v>0002642</v>
      </c>
      <c r="G2335">
        <v>1</v>
      </c>
      <c r="H2335" t="str">
        <f>"00000000"</f>
        <v>00000000</v>
      </c>
      <c r="I2335" t="s">
        <v>35</v>
      </c>
      <c r="J2335"/>
      <c r="K2335">
        <v>24.59</v>
      </c>
      <c r="L2335">
        <v>0.0</v>
      </c>
      <c r="M2335"/>
      <c r="N2335"/>
      <c r="O2335">
        <v>4.43</v>
      </c>
      <c r="P2335">
        <v>0.2</v>
      </c>
      <c r="Q2335">
        <v>29.22</v>
      </c>
      <c r="R2335"/>
      <c r="S2335"/>
      <c r="T2335"/>
      <c r="U2335"/>
      <c r="V2335"/>
      <c r="W2335">
        <v>18</v>
      </c>
    </row>
    <row r="2336" spans="1:23">
      <c r="A2336"/>
      <c r="B2336" t="s">
        <v>71</v>
      </c>
      <c r="C2336" t="s">
        <v>71</v>
      </c>
      <c r="D2336" t="s">
        <v>33</v>
      </c>
      <c r="E2336" t="s">
        <v>34</v>
      </c>
      <c r="F2336" t="str">
        <f>"0002643"</f>
        <v>0002643</v>
      </c>
      <c r="G2336">
        <v>1</v>
      </c>
      <c r="H2336" t="str">
        <f>"00000000"</f>
        <v>00000000</v>
      </c>
      <c r="I2336" t="s">
        <v>35</v>
      </c>
      <c r="J2336"/>
      <c r="K2336">
        <v>4.24</v>
      </c>
      <c r="L2336">
        <v>0.0</v>
      </c>
      <c r="M2336"/>
      <c r="N2336"/>
      <c r="O2336">
        <v>0.76</v>
      </c>
      <c r="P2336">
        <v>0.0</v>
      </c>
      <c r="Q2336">
        <v>5.0</v>
      </c>
      <c r="R2336"/>
      <c r="S2336"/>
      <c r="T2336"/>
      <c r="U2336"/>
      <c r="V2336"/>
      <c r="W2336">
        <v>18</v>
      </c>
    </row>
    <row r="2337" spans="1:23">
      <c r="A2337"/>
      <c r="B2337" t="s">
        <v>71</v>
      </c>
      <c r="C2337" t="s">
        <v>71</v>
      </c>
      <c r="D2337" t="s">
        <v>33</v>
      </c>
      <c r="E2337" t="s">
        <v>34</v>
      </c>
      <c r="F2337" t="str">
        <f>"0002644"</f>
        <v>0002644</v>
      </c>
      <c r="G2337">
        <v>1</v>
      </c>
      <c r="H2337" t="str">
        <f>"00000000"</f>
        <v>00000000</v>
      </c>
      <c r="I2337" t="s">
        <v>35</v>
      </c>
      <c r="J2337"/>
      <c r="K2337">
        <v>15.53</v>
      </c>
      <c r="L2337">
        <v>0.0</v>
      </c>
      <c r="M2337"/>
      <c r="N2337"/>
      <c r="O2337">
        <v>2.79</v>
      </c>
      <c r="P2337">
        <v>0.2</v>
      </c>
      <c r="Q2337">
        <v>18.52</v>
      </c>
      <c r="R2337"/>
      <c r="S2337"/>
      <c r="T2337"/>
      <c r="U2337"/>
      <c r="V2337"/>
      <c r="W2337">
        <v>18</v>
      </c>
    </row>
    <row r="2338" spans="1:23">
      <c r="A2338"/>
      <c r="B2338" t="s">
        <v>71</v>
      </c>
      <c r="C2338" t="s">
        <v>71</v>
      </c>
      <c r="D2338" t="s">
        <v>33</v>
      </c>
      <c r="E2338" t="s">
        <v>34</v>
      </c>
      <c r="F2338" t="str">
        <f>"0002645"</f>
        <v>0002645</v>
      </c>
      <c r="G2338">
        <v>1</v>
      </c>
      <c r="H2338" t="str">
        <f>"00000000"</f>
        <v>00000000</v>
      </c>
      <c r="I2338" t="s">
        <v>35</v>
      </c>
      <c r="J2338"/>
      <c r="K2338">
        <v>13.47</v>
      </c>
      <c r="L2338">
        <v>0.0</v>
      </c>
      <c r="M2338"/>
      <c r="N2338"/>
      <c r="O2338">
        <v>2.43</v>
      </c>
      <c r="P2338">
        <v>0.0</v>
      </c>
      <c r="Q2338">
        <v>15.9</v>
      </c>
      <c r="R2338"/>
      <c r="S2338"/>
      <c r="T2338"/>
      <c r="U2338"/>
      <c r="V2338"/>
      <c r="W2338">
        <v>18</v>
      </c>
    </row>
    <row r="2339" spans="1:23">
      <c r="A2339"/>
      <c r="B2339" t="s">
        <v>71</v>
      </c>
      <c r="C2339" t="s">
        <v>71</v>
      </c>
      <c r="D2339" t="s">
        <v>33</v>
      </c>
      <c r="E2339" t="s">
        <v>34</v>
      </c>
      <c r="F2339" t="str">
        <f>"0002646"</f>
        <v>0002646</v>
      </c>
      <c r="G2339">
        <v>1</v>
      </c>
      <c r="H2339" t="str">
        <f>"00000000"</f>
        <v>00000000</v>
      </c>
      <c r="I2339" t="s">
        <v>35</v>
      </c>
      <c r="J2339"/>
      <c r="K2339">
        <v>2.39</v>
      </c>
      <c r="L2339">
        <v>0.0</v>
      </c>
      <c r="M2339"/>
      <c r="N2339"/>
      <c r="O2339">
        <v>0.43</v>
      </c>
      <c r="P2339">
        <v>0.2</v>
      </c>
      <c r="Q2339">
        <v>3.02</v>
      </c>
      <c r="R2339"/>
      <c r="S2339"/>
      <c r="T2339"/>
      <c r="U2339"/>
      <c r="V2339"/>
      <c r="W2339">
        <v>18</v>
      </c>
    </row>
    <row r="2340" spans="1:23">
      <c r="A2340"/>
      <c r="B2340" t="s">
        <v>71</v>
      </c>
      <c r="C2340" t="s">
        <v>71</v>
      </c>
      <c r="D2340" t="s">
        <v>33</v>
      </c>
      <c r="E2340" t="s">
        <v>34</v>
      </c>
      <c r="F2340" t="str">
        <f>"0002647"</f>
        <v>0002647</v>
      </c>
      <c r="G2340">
        <v>1</v>
      </c>
      <c r="H2340" t="str">
        <f>"00000000"</f>
        <v>00000000</v>
      </c>
      <c r="I2340" t="s">
        <v>35</v>
      </c>
      <c r="J2340"/>
      <c r="K2340">
        <v>56.57</v>
      </c>
      <c r="L2340">
        <v>0.0</v>
      </c>
      <c r="M2340"/>
      <c r="N2340"/>
      <c r="O2340">
        <v>10.18</v>
      </c>
      <c r="P2340">
        <v>0.2</v>
      </c>
      <c r="Q2340">
        <v>66.95</v>
      </c>
      <c r="R2340"/>
      <c r="S2340"/>
      <c r="T2340"/>
      <c r="U2340"/>
      <c r="V2340"/>
      <c r="W2340">
        <v>18</v>
      </c>
    </row>
    <row r="2341" spans="1:23">
      <c r="A2341"/>
      <c r="B2341" t="s">
        <v>71</v>
      </c>
      <c r="C2341" t="s">
        <v>71</v>
      </c>
      <c r="D2341" t="s">
        <v>33</v>
      </c>
      <c r="E2341" t="s">
        <v>34</v>
      </c>
      <c r="F2341" t="str">
        <f>"0002648"</f>
        <v>0002648</v>
      </c>
      <c r="G2341">
        <v>1</v>
      </c>
      <c r="H2341" t="str">
        <f>"00000000"</f>
        <v>00000000</v>
      </c>
      <c r="I2341" t="s">
        <v>35</v>
      </c>
      <c r="J2341"/>
      <c r="K2341">
        <v>19.34</v>
      </c>
      <c r="L2341">
        <v>0.0</v>
      </c>
      <c r="M2341"/>
      <c r="N2341"/>
      <c r="O2341">
        <v>3.48</v>
      </c>
      <c r="P2341">
        <v>0.2</v>
      </c>
      <c r="Q2341">
        <v>23.02</v>
      </c>
      <c r="R2341"/>
      <c r="S2341"/>
      <c r="T2341"/>
      <c r="U2341"/>
      <c r="V2341"/>
      <c r="W2341">
        <v>18</v>
      </c>
    </row>
    <row r="2342" spans="1:23">
      <c r="A2342"/>
      <c r="B2342" t="s">
        <v>71</v>
      </c>
      <c r="C2342" t="s">
        <v>71</v>
      </c>
      <c r="D2342" t="s">
        <v>33</v>
      </c>
      <c r="E2342" t="s">
        <v>34</v>
      </c>
      <c r="F2342" t="str">
        <f>"0002649"</f>
        <v>0002649</v>
      </c>
      <c r="G2342">
        <v>1</v>
      </c>
      <c r="H2342" t="str">
        <f>"00000000"</f>
        <v>00000000</v>
      </c>
      <c r="I2342" t="s">
        <v>35</v>
      </c>
      <c r="J2342"/>
      <c r="K2342">
        <v>11.46</v>
      </c>
      <c r="L2342">
        <v>0.0</v>
      </c>
      <c r="M2342"/>
      <c r="N2342"/>
      <c r="O2342">
        <v>2.06</v>
      </c>
      <c r="P2342">
        <v>0.2</v>
      </c>
      <c r="Q2342">
        <v>13.72</v>
      </c>
      <c r="R2342"/>
      <c r="S2342"/>
      <c r="T2342"/>
      <c r="U2342"/>
      <c r="V2342"/>
      <c r="W2342">
        <v>18</v>
      </c>
    </row>
    <row r="2343" spans="1:23">
      <c r="A2343"/>
      <c r="B2343" t="s">
        <v>71</v>
      </c>
      <c r="C2343" t="s">
        <v>71</v>
      </c>
      <c r="D2343" t="s">
        <v>33</v>
      </c>
      <c r="E2343" t="s">
        <v>34</v>
      </c>
      <c r="F2343" t="str">
        <f>"0002650"</f>
        <v>0002650</v>
      </c>
      <c r="G2343">
        <v>1</v>
      </c>
      <c r="H2343" t="str">
        <f>"00000000"</f>
        <v>00000000</v>
      </c>
      <c r="I2343" t="s">
        <v>35</v>
      </c>
      <c r="J2343"/>
      <c r="K2343">
        <v>16.1</v>
      </c>
      <c r="L2343">
        <v>0.0</v>
      </c>
      <c r="M2343"/>
      <c r="N2343"/>
      <c r="O2343">
        <v>2.9</v>
      </c>
      <c r="P2343">
        <v>0.0</v>
      </c>
      <c r="Q2343">
        <v>19.0</v>
      </c>
      <c r="R2343"/>
      <c r="S2343"/>
      <c r="T2343"/>
      <c r="U2343"/>
      <c r="V2343"/>
      <c r="W2343">
        <v>18</v>
      </c>
    </row>
    <row r="2344" spans="1:23">
      <c r="A2344"/>
      <c r="B2344" t="s">
        <v>71</v>
      </c>
      <c r="C2344" t="s">
        <v>71</v>
      </c>
      <c r="D2344" t="s">
        <v>33</v>
      </c>
      <c r="E2344" t="s">
        <v>34</v>
      </c>
      <c r="F2344" t="str">
        <f>"0002651"</f>
        <v>0002651</v>
      </c>
      <c r="G2344">
        <v>1</v>
      </c>
      <c r="H2344" t="str">
        <f>"00000000"</f>
        <v>00000000</v>
      </c>
      <c r="I2344" t="s">
        <v>35</v>
      </c>
      <c r="J2344"/>
      <c r="K2344">
        <v>12.83</v>
      </c>
      <c r="L2344">
        <v>0.0</v>
      </c>
      <c r="M2344"/>
      <c r="N2344"/>
      <c r="O2344">
        <v>2.31</v>
      </c>
      <c r="P2344">
        <v>0.2</v>
      </c>
      <c r="Q2344">
        <v>15.33</v>
      </c>
      <c r="R2344"/>
      <c r="S2344"/>
      <c r="T2344"/>
      <c r="U2344"/>
      <c r="V2344"/>
      <c r="W2344">
        <v>18</v>
      </c>
    </row>
    <row r="2345" spans="1:23">
      <c r="A2345"/>
      <c r="B2345" t="s">
        <v>71</v>
      </c>
      <c r="C2345" t="s">
        <v>71</v>
      </c>
      <c r="D2345" t="s">
        <v>33</v>
      </c>
      <c r="E2345" t="s">
        <v>34</v>
      </c>
      <c r="F2345" t="str">
        <f>"0002652"</f>
        <v>0002652</v>
      </c>
      <c r="G2345">
        <v>1</v>
      </c>
      <c r="H2345" t="str">
        <f>"00000000"</f>
        <v>00000000</v>
      </c>
      <c r="I2345" t="s">
        <v>35</v>
      </c>
      <c r="J2345"/>
      <c r="K2345">
        <v>30.91</v>
      </c>
      <c r="L2345">
        <v>0.0</v>
      </c>
      <c r="M2345"/>
      <c r="N2345"/>
      <c r="O2345">
        <v>5.56</v>
      </c>
      <c r="P2345">
        <v>0.2</v>
      </c>
      <c r="Q2345">
        <v>36.67</v>
      </c>
      <c r="R2345"/>
      <c r="S2345"/>
      <c r="T2345"/>
      <c r="U2345"/>
      <c r="V2345"/>
      <c r="W2345">
        <v>18</v>
      </c>
    </row>
    <row r="2346" spans="1:23">
      <c r="A2346"/>
      <c r="B2346" t="s">
        <v>71</v>
      </c>
      <c r="C2346" t="s">
        <v>71</v>
      </c>
      <c r="D2346" t="s">
        <v>33</v>
      </c>
      <c r="E2346" t="s">
        <v>34</v>
      </c>
      <c r="F2346" t="str">
        <f>"0002653"</f>
        <v>0002653</v>
      </c>
      <c r="G2346">
        <v>1</v>
      </c>
      <c r="H2346" t="str">
        <f>"00000000"</f>
        <v>00000000</v>
      </c>
      <c r="I2346" t="s">
        <v>35</v>
      </c>
      <c r="J2346"/>
      <c r="K2346">
        <v>10.13</v>
      </c>
      <c r="L2346">
        <v>0.0</v>
      </c>
      <c r="M2346"/>
      <c r="N2346"/>
      <c r="O2346">
        <v>1.82</v>
      </c>
      <c r="P2346">
        <v>0.2</v>
      </c>
      <c r="Q2346">
        <v>12.15</v>
      </c>
      <c r="R2346"/>
      <c r="S2346"/>
      <c r="T2346"/>
      <c r="U2346"/>
      <c r="V2346"/>
      <c r="W2346">
        <v>18</v>
      </c>
    </row>
    <row r="2347" spans="1:23">
      <c r="A2347"/>
      <c r="B2347" t="s">
        <v>71</v>
      </c>
      <c r="C2347" t="s">
        <v>71</v>
      </c>
      <c r="D2347" t="s">
        <v>33</v>
      </c>
      <c r="E2347" t="s">
        <v>34</v>
      </c>
      <c r="F2347" t="str">
        <f>"0002654"</f>
        <v>0002654</v>
      </c>
      <c r="G2347">
        <v>1</v>
      </c>
      <c r="H2347" t="str">
        <f>"00000000"</f>
        <v>00000000</v>
      </c>
      <c r="I2347" t="s">
        <v>35</v>
      </c>
      <c r="J2347"/>
      <c r="K2347">
        <v>4.92</v>
      </c>
      <c r="L2347">
        <v>0.0</v>
      </c>
      <c r="M2347"/>
      <c r="N2347"/>
      <c r="O2347">
        <v>0.88</v>
      </c>
      <c r="P2347">
        <v>0.0</v>
      </c>
      <c r="Q2347">
        <v>5.8</v>
      </c>
      <c r="R2347"/>
      <c r="S2347"/>
      <c r="T2347"/>
      <c r="U2347"/>
      <c r="V2347"/>
      <c r="W2347">
        <v>18</v>
      </c>
    </row>
    <row r="2348" spans="1:23">
      <c r="A2348"/>
      <c r="B2348" t="s">
        <v>71</v>
      </c>
      <c r="C2348" t="s">
        <v>71</v>
      </c>
      <c r="D2348" t="s">
        <v>33</v>
      </c>
      <c r="E2348" t="s">
        <v>34</v>
      </c>
      <c r="F2348" t="str">
        <f>"0002655"</f>
        <v>0002655</v>
      </c>
      <c r="G2348">
        <v>1</v>
      </c>
      <c r="H2348" t="str">
        <f>"00000000"</f>
        <v>00000000</v>
      </c>
      <c r="I2348" t="s">
        <v>35</v>
      </c>
      <c r="J2348"/>
      <c r="K2348">
        <v>13.94</v>
      </c>
      <c r="L2348">
        <v>0.0</v>
      </c>
      <c r="M2348"/>
      <c r="N2348"/>
      <c r="O2348">
        <v>2.51</v>
      </c>
      <c r="P2348">
        <v>0.2</v>
      </c>
      <c r="Q2348">
        <v>16.65</v>
      </c>
      <c r="R2348"/>
      <c r="S2348"/>
      <c r="T2348"/>
      <c r="U2348"/>
      <c r="V2348"/>
      <c r="W2348">
        <v>18</v>
      </c>
    </row>
    <row r="2349" spans="1:23">
      <c r="A2349"/>
      <c r="B2349" t="s">
        <v>71</v>
      </c>
      <c r="C2349" t="s">
        <v>71</v>
      </c>
      <c r="D2349" t="s">
        <v>33</v>
      </c>
      <c r="E2349" t="s">
        <v>34</v>
      </c>
      <c r="F2349" t="str">
        <f>"0002656"</f>
        <v>0002656</v>
      </c>
      <c r="G2349">
        <v>1</v>
      </c>
      <c r="H2349" t="str">
        <f>"00000000"</f>
        <v>00000000</v>
      </c>
      <c r="I2349" t="s">
        <v>35</v>
      </c>
      <c r="J2349"/>
      <c r="K2349">
        <v>5.53</v>
      </c>
      <c r="L2349">
        <v>0.0</v>
      </c>
      <c r="M2349"/>
      <c r="N2349"/>
      <c r="O2349">
        <v>0.99</v>
      </c>
      <c r="P2349">
        <v>0.2</v>
      </c>
      <c r="Q2349">
        <v>6.72</v>
      </c>
      <c r="R2349"/>
      <c r="S2349"/>
      <c r="T2349"/>
      <c r="U2349"/>
      <c r="V2349"/>
      <c r="W2349">
        <v>18</v>
      </c>
    </row>
    <row r="2350" spans="1:23">
      <c r="A2350"/>
      <c r="B2350" t="s">
        <v>71</v>
      </c>
      <c r="C2350" t="s">
        <v>71</v>
      </c>
      <c r="D2350" t="s">
        <v>33</v>
      </c>
      <c r="E2350" t="s">
        <v>34</v>
      </c>
      <c r="F2350" t="str">
        <f>"0002657"</f>
        <v>0002657</v>
      </c>
      <c r="G2350">
        <v>1</v>
      </c>
      <c r="H2350" t="str">
        <f>"00000000"</f>
        <v>00000000</v>
      </c>
      <c r="I2350" t="s">
        <v>35</v>
      </c>
      <c r="J2350"/>
      <c r="K2350">
        <v>24.49</v>
      </c>
      <c r="L2350">
        <v>0.0</v>
      </c>
      <c r="M2350"/>
      <c r="N2350"/>
      <c r="O2350">
        <v>4.41</v>
      </c>
      <c r="P2350">
        <v>0.2</v>
      </c>
      <c r="Q2350">
        <v>29.1</v>
      </c>
      <c r="R2350"/>
      <c r="S2350"/>
      <c r="T2350"/>
      <c r="U2350"/>
      <c r="V2350"/>
      <c r="W2350">
        <v>18</v>
      </c>
    </row>
    <row r="2351" spans="1:23">
      <c r="A2351"/>
      <c r="B2351" t="s">
        <v>71</v>
      </c>
      <c r="C2351" t="s">
        <v>71</v>
      </c>
      <c r="D2351" t="s">
        <v>33</v>
      </c>
      <c r="E2351" t="s">
        <v>34</v>
      </c>
      <c r="F2351" t="str">
        <f>"0002658"</f>
        <v>0002658</v>
      </c>
      <c r="G2351">
        <v>1</v>
      </c>
      <c r="H2351" t="str">
        <f>"00000000"</f>
        <v>00000000</v>
      </c>
      <c r="I2351" t="s">
        <v>35</v>
      </c>
      <c r="J2351"/>
      <c r="K2351">
        <v>2.53</v>
      </c>
      <c r="L2351">
        <v>0.0</v>
      </c>
      <c r="M2351"/>
      <c r="N2351"/>
      <c r="O2351">
        <v>0.46</v>
      </c>
      <c r="P2351">
        <v>0.0</v>
      </c>
      <c r="Q2351">
        <v>2.99</v>
      </c>
      <c r="R2351"/>
      <c r="S2351"/>
      <c r="T2351"/>
      <c r="U2351"/>
      <c r="V2351"/>
      <c r="W2351">
        <v>18</v>
      </c>
    </row>
    <row r="2352" spans="1:23">
      <c r="A2352"/>
      <c r="B2352" t="s">
        <v>71</v>
      </c>
      <c r="C2352" t="s">
        <v>71</v>
      </c>
      <c r="D2352" t="s">
        <v>33</v>
      </c>
      <c r="E2352" t="s">
        <v>34</v>
      </c>
      <c r="F2352" t="str">
        <f>"0002659"</f>
        <v>0002659</v>
      </c>
      <c r="G2352">
        <v>1</v>
      </c>
      <c r="H2352" t="str">
        <f>"00000000"</f>
        <v>00000000</v>
      </c>
      <c r="I2352" t="s">
        <v>35</v>
      </c>
      <c r="J2352"/>
      <c r="K2352">
        <v>5.31</v>
      </c>
      <c r="L2352">
        <v>0.0</v>
      </c>
      <c r="M2352"/>
      <c r="N2352"/>
      <c r="O2352">
        <v>0.96</v>
      </c>
      <c r="P2352">
        <v>0.2</v>
      </c>
      <c r="Q2352">
        <v>6.47</v>
      </c>
      <c r="R2352"/>
      <c r="S2352"/>
      <c r="T2352"/>
      <c r="U2352"/>
      <c r="V2352"/>
      <c r="W2352">
        <v>18</v>
      </c>
    </row>
    <row r="2353" spans="1:23">
      <c r="A2353"/>
      <c r="B2353" t="s">
        <v>71</v>
      </c>
      <c r="C2353" t="s">
        <v>71</v>
      </c>
      <c r="D2353" t="s">
        <v>33</v>
      </c>
      <c r="E2353" t="s">
        <v>34</v>
      </c>
      <c r="F2353" t="str">
        <f>"0002660"</f>
        <v>0002660</v>
      </c>
      <c r="G2353">
        <v>1</v>
      </c>
      <c r="H2353" t="str">
        <f>"00000000"</f>
        <v>00000000</v>
      </c>
      <c r="I2353" t="s">
        <v>35</v>
      </c>
      <c r="J2353"/>
      <c r="K2353">
        <v>19.08</v>
      </c>
      <c r="L2353">
        <v>0.0</v>
      </c>
      <c r="M2353"/>
      <c r="N2353"/>
      <c r="O2353">
        <v>3.43</v>
      </c>
      <c r="P2353">
        <v>0.4</v>
      </c>
      <c r="Q2353">
        <v>22.91</v>
      </c>
      <c r="R2353"/>
      <c r="S2353"/>
      <c r="T2353"/>
      <c r="U2353"/>
      <c r="V2353"/>
      <c r="W2353">
        <v>18</v>
      </c>
    </row>
    <row r="2354" spans="1:23">
      <c r="A2354"/>
      <c r="B2354" t="s">
        <v>71</v>
      </c>
      <c r="C2354" t="s">
        <v>71</v>
      </c>
      <c r="D2354" t="s">
        <v>33</v>
      </c>
      <c r="E2354" t="s">
        <v>34</v>
      </c>
      <c r="F2354" t="str">
        <f>"0002661"</f>
        <v>0002661</v>
      </c>
      <c r="G2354">
        <v>1</v>
      </c>
      <c r="H2354" t="str">
        <f>"00000000"</f>
        <v>00000000</v>
      </c>
      <c r="I2354" t="s">
        <v>35</v>
      </c>
      <c r="J2354"/>
      <c r="K2354">
        <v>4.29</v>
      </c>
      <c r="L2354">
        <v>0.0</v>
      </c>
      <c r="M2354"/>
      <c r="N2354"/>
      <c r="O2354">
        <v>0.77</v>
      </c>
      <c r="P2354">
        <v>0.2</v>
      </c>
      <c r="Q2354">
        <v>5.26</v>
      </c>
      <c r="R2354"/>
      <c r="S2354"/>
      <c r="T2354"/>
      <c r="U2354"/>
      <c r="V2354"/>
      <c r="W2354">
        <v>18</v>
      </c>
    </row>
    <row r="2355" spans="1:23">
      <c r="A2355"/>
      <c r="B2355" t="s">
        <v>71</v>
      </c>
      <c r="C2355" t="s">
        <v>71</v>
      </c>
      <c r="D2355" t="s">
        <v>33</v>
      </c>
      <c r="E2355" t="s">
        <v>34</v>
      </c>
      <c r="F2355" t="str">
        <f>"0002662"</f>
        <v>0002662</v>
      </c>
      <c r="G2355">
        <v>1</v>
      </c>
      <c r="H2355" t="str">
        <f>"00000000"</f>
        <v>00000000</v>
      </c>
      <c r="I2355" t="s">
        <v>35</v>
      </c>
      <c r="J2355"/>
      <c r="K2355">
        <v>0.42</v>
      </c>
      <c r="L2355">
        <v>0.0</v>
      </c>
      <c r="M2355"/>
      <c r="N2355"/>
      <c r="O2355">
        <v>0.08</v>
      </c>
      <c r="P2355">
        <v>0.0</v>
      </c>
      <c r="Q2355">
        <v>0.5</v>
      </c>
      <c r="R2355"/>
      <c r="S2355"/>
      <c r="T2355"/>
      <c r="U2355"/>
      <c r="V2355"/>
      <c r="W2355">
        <v>18</v>
      </c>
    </row>
    <row r="2356" spans="1:23">
      <c r="A2356"/>
      <c r="B2356" t="s">
        <v>71</v>
      </c>
      <c r="C2356" t="s">
        <v>71</v>
      </c>
      <c r="D2356" t="s">
        <v>33</v>
      </c>
      <c r="E2356" t="s">
        <v>34</v>
      </c>
      <c r="F2356" t="str">
        <f>"0002663"</f>
        <v>0002663</v>
      </c>
      <c r="G2356">
        <v>1</v>
      </c>
      <c r="H2356" t="str">
        <f>"00000000"</f>
        <v>00000000</v>
      </c>
      <c r="I2356" t="s">
        <v>35</v>
      </c>
      <c r="J2356"/>
      <c r="K2356">
        <v>1.86</v>
      </c>
      <c r="L2356">
        <v>0.0</v>
      </c>
      <c r="M2356"/>
      <c r="N2356"/>
      <c r="O2356">
        <v>0.34</v>
      </c>
      <c r="P2356">
        <v>0.0</v>
      </c>
      <c r="Q2356">
        <v>2.2</v>
      </c>
      <c r="R2356"/>
      <c r="S2356"/>
      <c r="T2356"/>
      <c r="U2356"/>
      <c r="V2356"/>
      <c r="W2356">
        <v>18</v>
      </c>
    </row>
    <row r="2357" spans="1:23">
      <c r="A2357"/>
      <c r="B2357" t="s">
        <v>71</v>
      </c>
      <c r="C2357" t="s">
        <v>71</v>
      </c>
      <c r="D2357" t="s">
        <v>33</v>
      </c>
      <c r="E2357" t="s">
        <v>34</v>
      </c>
      <c r="F2357" t="str">
        <f>"0002664"</f>
        <v>0002664</v>
      </c>
      <c r="G2357">
        <v>1</v>
      </c>
      <c r="H2357" t="str">
        <f>"00000000"</f>
        <v>00000000</v>
      </c>
      <c r="I2357" t="s">
        <v>35</v>
      </c>
      <c r="J2357"/>
      <c r="K2357">
        <v>9.73</v>
      </c>
      <c r="L2357">
        <v>0.0</v>
      </c>
      <c r="M2357"/>
      <c r="N2357"/>
      <c r="O2357">
        <v>1.75</v>
      </c>
      <c r="P2357">
        <v>0.2</v>
      </c>
      <c r="Q2357">
        <v>11.68</v>
      </c>
      <c r="R2357"/>
      <c r="S2357"/>
      <c r="T2357"/>
      <c r="U2357"/>
      <c r="V2357"/>
      <c r="W2357">
        <v>18</v>
      </c>
    </row>
    <row r="2358" spans="1:23">
      <c r="A2358"/>
      <c r="B2358" t="s">
        <v>71</v>
      </c>
      <c r="C2358" t="s">
        <v>71</v>
      </c>
      <c r="D2358" t="s">
        <v>33</v>
      </c>
      <c r="E2358" t="s">
        <v>34</v>
      </c>
      <c r="F2358" t="str">
        <f>"0002665"</f>
        <v>0002665</v>
      </c>
      <c r="G2358">
        <v>1</v>
      </c>
      <c r="H2358" t="str">
        <f>"00000000"</f>
        <v>00000000</v>
      </c>
      <c r="I2358" t="s">
        <v>35</v>
      </c>
      <c r="J2358"/>
      <c r="K2358">
        <v>1.69</v>
      </c>
      <c r="L2358">
        <v>0.0</v>
      </c>
      <c r="M2358"/>
      <c r="N2358"/>
      <c r="O2358">
        <v>0.31</v>
      </c>
      <c r="P2358">
        <v>0.0</v>
      </c>
      <c r="Q2358">
        <v>2.0</v>
      </c>
      <c r="R2358"/>
      <c r="S2358"/>
      <c r="T2358"/>
      <c r="U2358"/>
      <c r="V2358"/>
      <c r="W2358">
        <v>18</v>
      </c>
    </row>
    <row r="2359" spans="1:23">
      <c r="A2359"/>
      <c r="B2359" t="s">
        <v>71</v>
      </c>
      <c r="C2359" t="s">
        <v>71</v>
      </c>
      <c r="D2359" t="s">
        <v>33</v>
      </c>
      <c r="E2359" t="s">
        <v>34</v>
      </c>
      <c r="F2359" t="str">
        <f>"0002666"</f>
        <v>0002666</v>
      </c>
      <c r="G2359">
        <v>1</v>
      </c>
      <c r="H2359" t="str">
        <f>"00000000"</f>
        <v>00000000</v>
      </c>
      <c r="I2359" t="s">
        <v>35</v>
      </c>
      <c r="J2359"/>
      <c r="K2359">
        <v>3.81</v>
      </c>
      <c r="L2359">
        <v>0.0</v>
      </c>
      <c r="M2359"/>
      <c r="N2359"/>
      <c r="O2359">
        <v>0.69</v>
      </c>
      <c r="P2359">
        <v>0.0</v>
      </c>
      <c r="Q2359">
        <v>4.5</v>
      </c>
      <c r="R2359"/>
      <c r="S2359"/>
      <c r="T2359"/>
      <c r="U2359"/>
      <c r="V2359"/>
      <c r="W2359">
        <v>18</v>
      </c>
    </row>
    <row r="2360" spans="1:23">
      <c r="A2360"/>
      <c r="B2360" t="s">
        <v>71</v>
      </c>
      <c r="C2360" t="s">
        <v>71</v>
      </c>
      <c r="D2360" t="s">
        <v>33</v>
      </c>
      <c r="E2360" t="s">
        <v>34</v>
      </c>
      <c r="F2360" t="str">
        <f>"0002667"</f>
        <v>0002667</v>
      </c>
      <c r="G2360">
        <v>1</v>
      </c>
      <c r="H2360" t="str">
        <f>"00000000"</f>
        <v>00000000</v>
      </c>
      <c r="I2360" t="s">
        <v>35</v>
      </c>
      <c r="J2360"/>
      <c r="K2360">
        <v>3.83</v>
      </c>
      <c r="L2360">
        <v>0.0</v>
      </c>
      <c r="M2360"/>
      <c r="N2360"/>
      <c r="O2360">
        <v>0.69</v>
      </c>
      <c r="P2360">
        <v>0.2</v>
      </c>
      <c r="Q2360">
        <v>4.72</v>
      </c>
      <c r="R2360"/>
      <c r="S2360"/>
      <c r="T2360"/>
      <c r="U2360"/>
      <c r="V2360"/>
      <c r="W2360">
        <v>18</v>
      </c>
    </row>
    <row r="2361" spans="1:23">
      <c r="A2361"/>
      <c r="B2361" t="s">
        <v>71</v>
      </c>
      <c r="C2361" t="s">
        <v>71</v>
      </c>
      <c r="D2361" t="s">
        <v>33</v>
      </c>
      <c r="E2361" t="s">
        <v>34</v>
      </c>
      <c r="F2361" t="str">
        <f>"0002668"</f>
        <v>0002668</v>
      </c>
      <c r="G2361">
        <v>1</v>
      </c>
      <c r="H2361" t="str">
        <f>"00000000"</f>
        <v>00000000</v>
      </c>
      <c r="I2361" t="s">
        <v>35</v>
      </c>
      <c r="J2361"/>
      <c r="K2361">
        <v>2.54</v>
      </c>
      <c r="L2361">
        <v>0.0</v>
      </c>
      <c r="M2361"/>
      <c r="N2361"/>
      <c r="O2361">
        <v>0.46</v>
      </c>
      <c r="P2361">
        <v>0.0</v>
      </c>
      <c r="Q2361">
        <v>3.0</v>
      </c>
      <c r="R2361"/>
      <c r="S2361"/>
      <c r="T2361"/>
      <c r="U2361"/>
      <c r="V2361"/>
      <c r="W2361">
        <v>18</v>
      </c>
    </row>
    <row r="2362" spans="1:23">
      <c r="A2362"/>
      <c r="B2362" t="s">
        <v>71</v>
      </c>
      <c r="C2362" t="s">
        <v>71</v>
      </c>
      <c r="D2362" t="s">
        <v>33</v>
      </c>
      <c r="E2362" t="s">
        <v>34</v>
      </c>
      <c r="F2362" t="str">
        <f>"0002669"</f>
        <v>0002669</v>
      </c>
      <c r="G2362">
        <v>1</v>
      </c>
      <c r="H2362" t="str">
        <f>"00000000"</f>
        <v>00000000</v>
      </c>
      <c r="I2362" t="s">
        <v>35</v>
      </c>
      <c r="J2362"/>
      <c r="K2362">
        <v>2.12</v>
      </c>
      <c r="L2362">
        <v>0.0</v>
      </c>
      <c r="M2362"/>
      <c r="N2362"/>
      <c r="O2362">
        <v>0.38</v>
      </c>
      <c r="P2362">
        <v>0.0</v>
      </c>
      <c r="Q2362">
        <v>2.5</v>
      </c>
      <c r="R2362"/>
      <c r="S2362"/>
      <c r="T2362"/>
      <c r="U2362"/>
      <c r="V2362"/>
      <c r="W2362">
        <v>18</v>
      </c>
    </row>
    <row r="2363" spans="1:23">
      <c r="A2363"/>
      <c r="B2363" t="s">
        <v>71</v>
      </c>
      <c r="C2363" t="s">
        <v>71</v>
      </c>
      <c r="D2363" t="s">
        <v>33</v>
      </c>
      <c r="E2363" t="s">
        <v>34</v>
      </c>
      <c r="F2363" t="str">
        <f>"0002670"</f>
        <v>0002670</v>
      </c>
      <c r="G2363">
        <v>1</v>
      </c>
      <c r="H2363" t="str">
        <f>"00000000"</f>
        <v>00000000</v>
      </c>
      <c r="I2363" t="s">
        <v>35</v>
      </c>
      <c r="J2363"/>
      <c r="K2363">
        <v>11.49</v>
      </c>
      <c r="L2363">
        <v>0.0</v>
      </c>
      <c r="M2363"/>
      <c r="N2363"/>
      <c r="O2363">
        <v>2.07</v>
      </c>
      <c r="P2363">
        <v>0.2</v>
      </c>
      <c r="Q2363">
        <v>13.75</v>
      </c>
      <c r="R2363"/>
      <c r="S2363"/>
      <c r="T2363"/>
      <c r="U2363"/>
      <c r="V2363"/>
      <c r="W2363">
        <v>18</v>
      </c>
    </row>
    <row r="2364" spans="1:23">
      <c r="A2364"/>
      <c r="B2364" t="s">
        <v>71</v>
      </c>
      <c r="C2364" t="s">
        <v>71</v>
      </c>
      <c r="D2364" t="s">
        <v>33</v>
      </c>
      <c r="E2364" t="s">
        <v>34</v>
      </c>
      <c r="F2364" t="str">
        <f>"0002671"</f>
        <v>0002671</v>
      </c>
      <c r="G2364">
        <v>1</v>
      </c>
      <c r="H2364" t="str">
        <f>"00000000"</f>
        <v>00000000</v>
      </c>
      <c r="I2364" t="s">
        <v>35</v>
      </c>
      <c r="J2364"/>
      <c r="K2364">
        <v>3.81</v>
      </c>
      <c r="L2364">
        <v>0.0</v>
      </c>
      <c r="M2364"/>
      <c r="N2364"/>
      <c r="O2364">
        <v>0.69</v>
      </c>
      <c r="P2364">
        <v>0.0</v>
      </c>
      <c r="Q2364">
        <v>4.5</v>
      </c>
      <c r="R2364"/>
      <c r="S2364"/>
      <c r="T2364"/>
      <c r="U2364"/>
      <c r="V2364"/>
      <c r="W2364">
        <v>18</v>
      </c>
    </row>
    <row r="2365" spans="1:23">
      <c r="A2365"/>
      <c r="B2365" t="s">
        <v>71</v>
      </c>
      <c r="C2365" t="s">
        <v>71</v>
      </c>
      <c r="D2365" t="s">
        <v>33</v>
      </c>
      <c r="E2365" t="s">
        <v>34</v>
      </c>
      <c r="F2365" t="str">
        <f>"0002672"</f>
        <v>0002672</v>
      </c>
      <c r="G2365">
        <v>1</v>
      </c>
      <c r="H2365" t="str">
        <f>"00000000"</f>
        <v>00000000</v>
      </c>
      <c r="I2365" t="s">
        <v>35</v>
      </c>
      <c r="J2365"/>
      <c r="K2365">
        <v>40.87</v>
      </c>
      <c r="L2365">
        <v>0.0</v>
      </c>
      <c r="M2365"/>
      <c r="N2365"/>
      <c r="O2365">
        <v>7.36</v>
      </c>
      <c r="P2365">
        <v>0.2</v>
      </c>
      <c r="Q2365">
        <v>48.43</v>
      </c>
      <c r="R2365"/>
      <c r="S2365"/>
      <c r="T2365"/>
      <c r="U2365"/>
      <c r="V2365"/>
      <c r="W2365">
        <v>18</v>
      </c>
    </row>
    <row r="2366" spans="1:23">
      <c r="A2366"/>
      <c r="B2366" t="s">
        <v>71</v>
      </c>
      <c r="C2366" t="s">
        <v>71</v>
      </c>
      <c r="D2366" t="s">
        <v>33</v>
      </c>
      <c r="E2366" t="s">
        <v>34</v>
      </c>
      <c r="F2366" t="str">
        <f>"0002673"</f>
        <v>0002673</v>
      </c>
      <c r="G2366">
        <v>1</v>
      </c>
      <c r="H2366" t="str">
        <f>"00000000"</f>
        <v>00000000</v>
      </c>
      <c r="I2366" t="s">
        <v>35</v>
      </c>
      <c r="J2366"/>
      <c r="K2366">
        <v>3.38</v>
      </c>
      <c r="L2366">
        <v>0.0</v>
      </c>
      <c r="M2366"/>
      <c r="N2366"/>
      <c r="O2366">
        <v>0.61</v>
      </c>
      <c r="P2366">
        <v>0.0</v>
      </c>
      <c r="Q2366">
        <v>3.99</v>
      </c>
      <c r="R2366"/>
      <c r="S2366"/>
      <c r="T2366"/>
      <c r="U2366"/>
      <c r="V2366"/>
      <c r="W2366">
        <v>18</v>
      </c>
    </row>
    <row r="2367" spans="1:23">
      <c r="A2367"/>
      <c r="B2367" t="s">
        <v>71</v>
      </c>
      <c r="C2367" t="s">
        <v>71</v>
      </c>
      <c r="D2367" t="s">
        <v>33</v>
      </c>
      <c r="E2367" t="s">
        <v>34</v>
      </c>
      <c r="F2367" t="str">
        <f>"0002674"</f>
        <v>0002674</v>
      </c>
      <c r="G2367">
        <v>1</v>
      </c>
      <c r="H2367" t="str">
        <f>"00000000"</f>
        <v>00000000</v>
      </c>
      <c r="I2367" t="s">
        <v>35</v>
      </c>
      <c r="J2367"/>
      <c r="K2367">
        <v>1.61</v>
      </c>
      <c r="L2367">
        <v>0.0</v>
      </c>
      <c r="M2367"/>
      <c r="N2367"/>
      <c r="O2367">
        <v>0.29</v>
      </c>
      <c r="P2367">
        <v>0.0</v>
      </c>
      <c r="Q2367">
        <v>1.9</v>
      </c>
      <c r="R2367"/>
      <c r="S2367"/>
      <c r="T2367"/>
      <c r="U2367"/>
      <c r="V2367"/>
      <c r="W2367">
        <v>18</v>
      </c>
    </row>
    <row r="2368" spans="1:23">
      <c r="A2368"/>
      <c r="B2368" t="s">
        <v>71</v>
      </c>
      <c r="C2368" t="s">
        <v>71</v>
      </c>
      <c r="D2368" t="s">
        <v>33</v>
      </c>
      <c r="E2368" t="s">
        <v>34</v>
      </c>
      <c r="F2368" t="str">
        <f>"0002675"</f>
        <v>0002675</v>
      </c>
      <c r="G2368">
        <v>1</v>
      </c>
      <c r="H2368" t="str">
        <f>"00000000"</f>
        <v>00000000</v>
      </c>
      <c r="I2368" t="s">
        <v>35</v>
      </c>
      <c r="J2368"/>
      <c r="K2368">
        <v>29.39</v>
      </c>
      <c r="L2368">
        <v>0.0</v>
      </c>
      <c r="M2368"/>
      <c r="N2368"/>
      <c r="O2368">
        <v>5.29</v>
      </c>
      <c r="P2368">
        <v>0.2</v>
      </c>
      <c r="Q2368">
        <v>34.88</v>
      </c>
      <c r="R2368"/>
      <c r="S2368"/>
      <c r="T2368"/>
      <c r="U2368"/>
      <c r="V2368"/>
      <c r="W2368">
        <v>18</v>
      </c>
    </row>
    <row r="2369" spans="1:23">
      <c r="A2369"/>
      <c r="B2369" t="s">
        <v>71</v>
      </c>
      <c r="C2369" t="s">
        <v>71</v>
      </c>
      <c r="D2369" t="s">
        <v>33</v>
      </c>
      <c r="E2369" t="s">
        <v>34</v>
      </c>
      <c r="F2369" t="str">
        <f>"0002676"</f>
        <v>0002676</v>
      </c>
      <c r="G2369">
        <v>1</v>
      </c>
      <c r="H2369" t="str">
        <f>"00000000"</f>
        <v>00000000</v>
      </c>
      <c r="I2369" t="s">
        <v>35</v>
      </c>
      <c r="J2369"/>
      <c r="K2369">
        <v>10.79</v>
      </c>
      <c r="L2369">
        <v>0.0</v>
      </c>
      <c r="M2369"/>
      <c r="N2369"/>
      <c r="O2369">
        <v>1.94</v>
      </c>
      <c r="P2369">
        <v>0.2</v>
      </c>
      <c r="Q2369">
        <v>12.94</v>
      </c>
      <c r="R2369"/>
      <c r="S2369"/>
      <c r="T2369"/>
      <c r="U2369"/>
      <c r="V2369"/>
      <c r="W2369">
        <v>18</v>
      </c>
    </row>
    <row r="2370" spans="1:23">
      <c r="A2370"/>
      <c r="B2370" t="s">
        <v>71</v>
      </c>
      <c r="C2370" t="s">
        <v>71</v>
      </c>
      <c r="D2370" t="s">
        <v>33</v>
      </c>
      <c r="E2370" t="s">
        <v>34</v>
      </c>
      <c r="F2370" t="str">
        <f>"0002677"</f>
        <v>0002677</v>
      </c>
      <c r="G2370">
        <v>1</v>
      </c>
      <c r="H2370" t="str">
        <f>"00000000"</f>
        <v>00000000</v>
      </c>
      <c r="I2370" t="s">
        <v>35</v>
      </c>
      <c r="J2370"/>
      <c r="K2370">
        <v>32.37</v>
      </c>
      <c r="L2370">
        <v>0.0</v>
      </c>
      <c r="M2370"/>
      <c r="N2370"/>
      <c r="O2370">
        <v>5.83</v>
      </c>
      <c r="P2370">
        <v>0.2</v>
      </c>
      <c r="Q2370">
        <v>38.4</v>
      </c>
      <c r="R2370"/>
      <c r="S2370"/>
      <c r="T2370"/>
      <c r="U2370"/>
      <c r="V2370"/>
      <c r="W2370">
        <v>18</v>
      </c>
    </row>
    <row r="2371" spans="1:23">
      <c r="A2371"/>
      <c r="B2371" t="s">
        <v>71</v>
      </c>
      <c r="C2371" t="s">
        <v>71</v>
      </c>
      <c r="D2371" t="s">
        <v>33</v>
      </c>
      <c r="E2371" t="s">
        <v>34</v>
      </c>
      <c r="F2371" t="str">
        <f>"0002678"</f>
        <v>0002678</v>
      </c>
      <c r="G2371">
        <v>1</v>
      </c>
      <c r="H2371" t="str">
        <f>"00000000"</f>
        <v>00000000</v>
      </c>
      <c r="I2371" t="s">
        <v>35</v>
      </c>
      <c r="J2371"/>
      <c r="K2371">
        <v>11.46</v>
      </c>
      <c r="L2371">
        <v>0.0</v>
      </c>
      <c r="M2371"/>
      <c r="N2371"/>
      <c r="O2371">
        <v>2.06</v>
      </c>
      <c r="P2371">
        <v>0.2</v>
      </c>
      <c r="Q2371">
        <v>13.72</v>
      </c>
      <c r="R2371"/>
      <c r="S2371"/>
      <c r="T2371"/>
      <c r="U2371"/>
      <c r="V2371"/>
      <c r="W2371">
        <v>18</v>
      </c>
    </row>
    <row r="2372" spans="1:23">
      <c r="A2372"/>
      <c r="B2372" t="s">
        <v>71</v>
      </c>
      <c r="C2372" t="s">
        <v>71</v>
      </c>
      <c r="D2372" t="s">
        <v>33</v>
      </c>
      <c r="E2372" t="s">
        <v>34</v>
      </c>
      <c r="F2372" t="str">
        <f>"0002679"</f>
        <v>0002679</v>
      </c>
      <c r="G2372">
        <v>1</v>
      </c>
      <c r="H2372" t="str">
        <f>"00000000"</f>
        <v>00000000</v>
      </c>
      <c r="I2372" t="s">
        <v>35</v>
      </c>
      <c r="J2372"/>
      <c r="K2372">
        <v>16.99</v>
      </c>
      <c r="L2372">
        <v>0.0</v>
      </c>
      <c r="M2372"/>
      <c r="N2372"/>
      <c r="O2372">
        <v>3.06</v>
      </c>
      <c r="P2372">
        <v>0.2</v>
      </c>
      <c r="Q2372">
        <v>20.24</v>
      </c>
      <c r="R2372"/>
      <c r="S2372"/>
      <c r="T2372"/>
      <c r="U2372"/>
      <c r="V2372"/>
      <c r="W2372">
        <v>18</v>
      </c>
    </row>
    <row r="2373" spans="1:23">
      <c r="A2373"/>
      <c r="B2373" t="s">
        <v>71</v>
      </c>
      <c r="C2373" t="s">
        <v>71</v>
      </c>
      <c r="D2373" t="s">
        <v>33</v>
      </c>
      <c r="E2373" t="s">
        <v>34</v>
      </c>
      <c r="F2373" t="str">
        <f>"0002680"</f>
        <v>0002680</v>
      </c>
      <c r="G2373">
        <v>1</v>
      </c>
      <c r="H2373" t="str">
        <f>"00000000"</f>
        <v>00000000</v>
      </c>
      <c r="I2373" t="s">
        <v>35</v>
      </c>
      <c r="J2373"/>
      <c r="K2373">
        <v>5.85</v>
      </c>
      <c r="L2373">
        <v>0.0</v>
      </c>
      <c r="M2373"/>
      <c r="N2373"/>
      <c r="O2373">
        <v>1.05</v>
      </c>
      <c r="P2373">
        <v>0.0</v>
      </c>
      <c r="Q2373">
        <v>6.9</v>
      </c>
      <c r="R2373"/>
      <c r="S2373"/>
      <c r="T2373"/>
      <c r="U2373"/>
      <c r="V2373"/>
      <c r="W2373">
        <v>18</v>
      </c>
    </row>
    <row r="2374" spans="1:23">
      <c r="A2374"/>
      <c r="B2374" t="s">
        <v>71</v>
      </c>
      <c r="C2374" t="s">
        <v>71</v>
      </c>
      <c r="D2374" t="s">
        <v>33</v>
      </c>
      <c r="E2374" t="s">
        <v>34</v>
      </c>
      <c r="F2374" t="str">
        <f>"0002681"</f>
        <v>0002681</v>
      </c>
      <c r="G2374">
        <v>1</v>
      </c>
      <c r="H2374" t="str">
        <f>"00000000"</f>
        <v>00000000</v>
      </c>
      <c r="I2374" t="s">
        <v>35</v>
      </c>
      <c r="J2374"/>
      <c r="K2374">
        <v>1.69</v>
      </c>
      <c r="L2374">
        <v>0.0</v>
      </c>
      <c r="M2374"/>
      <c r="N2374"/>
      <c r="O2374">
        <v>0.31</v>
      </c>
      <c r="P2374">
        <v>0.0</v>
      </c>
      <c r="Q2374">
        <v>2.0</v>
      </c>
      <c r="R2374"/>
      <c r="S2374"/>
      <c r="T2374"/>
      <c r="U2374"/>
      <c r="V2374"/>
      <c r="W2374">
        <v>18</v>
      </c>
    </row>
    <row r="2375" spans="1:23">
      <c r="A2375"/>
      <c r="B2375" t="s">
        <v>71</v>
      </c>
      <c r="C2375" t="s">
        <v>71</v>
      </c>
      <c r="D2375" t="s">
        <v>33</v>
      </c>
      <c r="E2375" t="s">
        <v>34</v>
      </c>
      <c r="F2375" t="str">
        <f>"0002682"</f>
        <v>0002682</v>
      </c>
      <c r="G2375">
        <v>1</v>
      </c>
      <c r="H2375" t="str">
        <f>"00000000"</f>
        <v>00000000</v>
      </c>
      <c r="I2375" t="s">
        <v>35</v>
      </c>
      <c r="J2375"/>
      <c r="K2375">
        <v>1.02</v>
      </c>
      <c r="L2375">
        <v>0.0</v>
      </c>
      <c r="M2375"/>
      <c r="N2375"/>
      <c r="O2375">
        <v>0.18</v>
      </c>
      <c r="P2375">
        <v>0.0</v>
      </c>
      <c r="Q2375">
        <v>1.2</v>
      </c>
      <c r="R2375"/>
      <c r="S2375"/>
      <c r="T2375"/>
      <c r="U2375"/>
      <c r="V2375"/>
      <c r="W2375">
        <v>18</v>
      </c>
    </row>
    <row r="2376" spans="1:23">
      <c r="A2376"/>
      <c r="B2376" t="s">
        <v>71</v>
      </c>
      <c r="C2376" t="s">
        <v>71</v>
      </c>
      <c r="D2376" t="s">
        <v>33</v>
      </c>
      <c r="E2376" t="s">
        <v>34</v>
      </c>
      <c r="F2376" t="str">
        <f>"0002683"</f>
        <v>0002683</v>
      </c>
      <c r="G2376">
        <v>1</v>
      </c>
      <c r="H2376" t="str">
        <f>"00000000"</f>
        <v>00000000</v>
      </c>
      <c r="I2376" t="s">
        <v>35</v>
      </c>
      <c r="J2376"/>
      <c r="K2376">
        <v>2.97</v>
      </c>
      <c r="L2376">
        <v>0.0</v>
      </c>
      <c r="M2376"/>
      <c r="N2376"/>
      <c r="O2376">
        <v>0.53</v>
      </c>
      <c r="P2376">
        <v>0.0</v>
      </c>
      <c r="Q2376">
        <v>3.5</v>
      </c>
      <c r="R2376"/>
      <c r="S2376"/>
      <c r="T2376"/>
      <c r="U2376"/>
      <c r="V2376"/>
      <c r="W2376">
        <v>18</v>
      </c>
    </row>
    <row r="2377" spans="1:23">
      <c r="A2377"/>
      <c r="B2377" t="s">
        <v>71</v>
      </c>
      <c r="C2377" t="s">
        <v>71</v>
      </c>
      <c r="D2377" t="s">
        <v>33</v>
      </c>
      <c r="E2377" t="s">
        <v>34</v>
      </c>
      <c r="F2377" t="str">
        <f>"0002684"</f>
        <v>0002684</v>
      </c>
      <c r="G2377">
        <v>1</v>
      </c>
      <c r="H2377" t="str">
        <f>"00000000"</f>
        <v>00000000</v>
      </c>
      <c r="I2377" t="s">
        <v>35</v>
      </c>
      <c r="J2377"/>
      <c r="K2377">
        <v>3.35</v>
      </c>
      <c r="L2377">
        <v>0.0</v>
      </c>
      <c r="M2377"/>
      <c r="N2377"/>
      <c r="O2377">
        <v>0.6</v>
      </c>
      <c r="P2377">
        <v>0.0</v>
      </c>
      <c r="Q2377">
        <v>3.95</v>
      </c>
      <c r="R2377"/>
      <c r="S2377"/>
      <c r="T2377"/>
      <c r="U2377"/>
      <c r="V2377"/>
      <c r="W2377">
        <v>18</v>
      </c>
    </row>
    <row r="2378" spans="1:23">
      <c r="A2378"/>
      <c r="B2378" t="s">
        <v>71</v>
      </c>
      <c r="C2378" t="s">
        <v>71</v>
      </c>
      <c r="D2378" t="s">
        <v>33</v>
      </c>
      <c r="E2378" t="s">
        <v>34</v>
      </c>
      <c r="F2378" t="str">
        <f>"0002685"</f>
        <v>0002685</v>
      </c>
      <c r="G2378">
        <v>1</v>
      </c>
      <c r="H2378" t="str">
        <f>"00000000"</f>
        <v>00000000</v>
      </c>
      <c r="I2378" t="s">
        <v>35</v>
      </c>
      <c r="J2378"/>
      <c r="K2378">
        <v>13.92</v>
      </c>
      <c r="L2378">
        <v>0.0</v>
      </c>
      <c r="M2378"/>
      <c r="N2378"/>
      <c r="O2378">
        <v>2.5</v>
      </c>
      <c r="P2378">
        <v>0.2</v>
      </c>
      <c r="Q2378">
        <v>16.62</v>
      </c>
      <c r="R2378"/>
      <c r="S2378"/>
      <c r="T2378"/>
      <c r="U2378"/>
      <c r="V2378"/>
      <c r="W2378">
        <v>18</v>
      </c>
    </row>
    <row r="2379" spans="1:23">
      <c r="A2379"/>
      <c r="B2379" t="s">
        <v>71</v>
      </c>
      <c r="C2379" t="s">
        <v>71</v>
      </c>
      <c r="D2379" t="s">
        <v>33</v>
      </c>
      <c r="E2379" t="s">
        <v>34</v>
      </c>
      <c r="F2379" t="str">
        <f>"0002686"</f>
        <v>0002686</v>
      </c>
      <c r="G2379">
        <v>1</v>
      </c>
      <c r="H2379" t="str">
        <f>"00000000"</f>
        <v>00000000</v>
      </c>
      <c r="I2379" t="s">
        <v>35</v>
      </c>
      <c r="J2379"/>
      <c r="K2379">
        <v>9.34</v>
      </c>
      <c r="L2379">
        <v>0.0</v>
      </c>
      <c r="M2379"/>
      <c r="N2379"/>
      <c r="O2379">
        <v>1.68</v>
      </c>
      <c r="P2379">
        <v>0.2</v>
      </c>
      <c r="Q2379">
        <v>11.22</v>
      </c>
      <c r="R2379"/>
      <c r="S2379"/>
      <c r="T2379"/>
      <c r="U2379"/>
      <c r="V2379"/>
      <c r="W2379">
        <v>18</v>
      </c>
    </row>
    <row r="2380" spans="1:23">
      <c r="A2380"/>
      <c r="B2380" t="s">
        <v>71</v>
      </c>
      <c r="C2380" t="s">
        <v>71</v>
      </c>
      <c r="D2380" t="s">
        <v>33</v>
      </c>
      <c r="E2380" t="s">
        <v>34</v>
      </c>
      <c r="F2380" t="str">
        <f>"0002687"</f>
        <v>0002687</v>
      </c>
      <c r="G2380">
        <v>1</v>
      </c>
      <c r="H2380" t="str">
        <f>"00000000"</f>
        <v>00000000</v>
      </c>
      <c r="I2380" t="s">
        <v>35</v>
      </c>
      <c r="J2380"/>
      <c r="K2380">
        <v>5.78</v>
      </c>
      <c r="L2380">
        <v>0.0</v>
      </c>
      <c r="M2380"/>
      <c r="N2380"/>
      <c r="O2380">
        <v>1.04</v>
      </c>
      <c r="P2380">
        <v>0.2</v>
      </c>
      <c r="Q2380">
        <v>7.02</v>
      </c>
      <c r="R2380"/>
      <c r="S2380"/>
      <c r="T2380"/>
      <c r="U2380"/>
      <c r="V2380"/>
      <c r="W2380">
        <v>18</v>
      </c>
    </row>
    <row r="2381" spans="1:23">
      <c r="A2381"/>
      <c r="B2381" t="s">
        <v>71</v>
      </c>
      <c r="C2381" t="s">
        <v>71</v>
      </c>
      <c r="D2381" t="s">
        <v>33</v>
      </c>
      <c r="E2381" t="s">
        <v>34</v>
      </c>
      <c r="F2381" t="str">
        <f>"0002688"</f>
        <v>0002688</v>
      </c>
      <c r="G2381">
        <v>1</v>
      </c>
      <c r="H2381" t="str">
        <f>"00000000"</f>
        <v>00000000</v>
      </c>
      <c r="I2381" t="s">
        <v>35</v>
      </c>
      <c r="J2381"/>
      <c r="K2381">
        <v>1.69</v>
      </c>
      <c r="L2381">
        <v>0.0</v>
      </c>
      <c r="M2381"/>
      <c r="N2381"/>
      <c r="O2381">
        <v>0.31</v>
      </c>
      <c r="P2381">
        <v>0.0</v>
      </c>
      <c r="Q2381">
        <v>2.0</v>
      </c>
      <c r="R2381"/>
      <c r="S2381"/>
      <c r="T2381"/>
      <c r="U2381"/>
      <c r="V2381"/>
      <c r="W2381">
        <v>18</v>
      </c>
    </row>
    <row r="2382" spans="1:23">
      <c r="A2382"/>
      <c r="B2382" t="s">
        <v>71</v>
      </c>
      <c r="C2382" t="s">
        <v>71</v>
      </c>
      <c r="D2382" t="s">
        <v>33</v>
      </c>
      <c r="E2382" t="s">
        <v>34</v>
      </c>
      <c r="F2382" t="str">
        <f>"0002689"</f>
        <v>0002689</v>
      </c>
      <c r="G2382">
        <v>1</v>
      </c>
      <c r="H2382" t="str">
        <f>"00000000"</f>
        <v>00000000</v>
      </c>
      <c r="I2382" t="s">
        <v>35</v>
      </c>
      <c r="J2382"/>
      <c r="K2382">
        <v>28.1</v>
      </c>
      <c r="L2382">
        <v>0.0</v>
      </c>
      <c r="M2382"/>
      <c r="N2382"/>
      <c r="O2382">
        <v>5.06</v>
      </c>
      <c r="P2382">
        <v>0.0</v>
      </c>
      <c r="Q2382">
        <v>33.16</v>
      </c>
      <c r="R2382"/>
      <c r="S2382"/>
      <c r="T2382"/>
      <c r="U2382"/>
      <c r="V2382"/>
      <c r="W2382">
        <v>18</v>
      </c>
    </row>
    <row r="2383" spans="1:23">
      <c r="A2383"/>
      <c r="B2383" t="s">
        <v>71</v>
      </c>
      <c r="C2383" t="s">
        <v>71</v>
      </c>
      <c r="D2383" t="s">
        <v>33</v>
      </c>
      <c r="E2383" t="s">
        <v>34</v>
      </c>
      <c r="F2383" t="str">
        <f>"0002690"</f>
        <v>0002690</v>
      </c>
      <c r="G2383">
        <v>1</v>
      </c>
      <c r="H2383" t="str">
        <f>"00000000"</f>
        <v>00000000</v>
      </c>
      <c r="I2383" t="s">
        <v>35</v>
      </c>
      <c r="J2383"/>
      <c r="K2383">
        <v>17.8</v>
      </c>
      <c r="L2383">
        <v>0.0</v>
      </c>
      <c r="M2383"/>
      <c r="N2383"/>
      <c r="O2383">
        <v>3.2</v>
      </c>
      <c r="P2383">
        <v>0.0</v>
      </c>
      <c r="Q2383">
        <v>21.0</v>
      </c>
      <c r="R2383"/>
      <c r="S2383"/>
      <c r="T2383"/>
      <c r="U2383"/>
      <c r="V2383"/>
      <c r="W2383">
        <v>18</v>
      </c>
    </row>
    <row r="2384" spans="1:23">
      <c r="A2384"/>
      <c r="B2384" t="s">
        <v>71</v>
      </c>
      <c r="C2384" t="s">
        <v>71</v>
      </c>
      <c r="D2384" t="s">
        <v>33</v>
      </c>
      <c r="E2384" t="s">
        <v>34</v>
      </c>
      <c r="F2384" t="str">
        <f>"0002691"</f>
        <v>0002691</v>
      </c>
      <c r="G2384">
        <v>1</v>
      </c>
      <c r="H2384" t="str">
        <f>"00000000"</f>
        <v>00000000</v>
      </c>
      <c r="I2384" t="s">
        <v>35</v>
      </c>
      <c r="J2384"/>
      <c r="K2384">
        <v>5.08</v>
      </c>
      <c r="L2384">
        <v>0.0</v>
      </c>
      <c r="M2384"/>
      <c r="N2384"/>
      <c r="O2384">
        <v>0.92</v>
      </c>
      <c r="P2384">
        <v>0.0</v>
      </c>
      <c r="Q2384">
        <v>6.0</v>
      </c>
      <c r="R2384"/>
      <c r="S2384"/>
      <c r="T2384"/>
      <c r="U2384"/>
      <c r="V2384"/>
      <c r="W2384">
        <v>18</v>
      </c>
    </row>
    <row r="2385" spans="1:23">
      <c r="A2385"/>
      <c r="B2385" t="s">
        <v>71</v>
      </c>
      <c r="C2385" t="s">
        <v>71</v>
      </c>
      <c r="D2385" t="s">
        <v>33</v>
      </c>
      <c r="E2385" t="s">
        <v>34</v>
      </c>
      <c r="F2385" t="str">
        <f>"0002692"</f>
        <v>0002692</v>
      </c>
      <c r="G2385">
        <v>1</v>
      </c>
      <c r="H2385" t="str">
        <f>"00000000"</f>
        <v>00000000</v>
      </c>
      <c r="I2385" t="s">
        <v>35</v>
      </c>
      <c r="J2385"/>
      <c r="K2385">
        <v>9.7</v>
      </c>
      <c r="L2385">
        <v>0.0</v>
      </c>
      <c r="M2385"/>
      <c r="N2385"/>
      <c r="O2385">
        <v>1.75</v>
      </c>
      <c r="P2385">
        <v>0.2</v>
      </c>
      <c r="Q2385">
        <v>11.64</v>
      </c>
      <c r="R2385"/>
      <c r="S2385"/>
      <c r="T2385"/>
      <c r="U2385"/>
      <c r="V2385"/>
      <c r="W2385">
        <v>18</v>
      </c>
    </row>
    <row r="2386" spans="1:23">
      <c r="A2386"/>
      <c r="B2386" t="s">
        <v>71</v>
      </c>
      <c r="C2386" t="s">
        <v>71</v>
      </c>
      <c r="D2386" t="s">
        <v>33</v>
      </c>
      <c r="E2386" t="s">
        <v>34</v>
      </c>
      <c r="F2386" t="str">
        <f>"0002693"</f>
        <v>0002693</v>
      </c>
      <c r="G2386">
        <v>1</v>
      </c>
      <c r="H2386" t="str">
        <f>"00000000"</f>
        <v>00000000</v>
      </c>
      <c r="I2386" t="s">
        <v>35</v>
      </c>
      <c r="J2386"/>
      <c r="K2386">
        <v>5.12</v>
      </c>
      <c r="L2386">
        <v>0.0</v>
      </c>
      <c r="M2386"/>
      <c r="N2386"/>
      <c r="O2386">
        <v>0.92</v>
      </c>
      <c r="P2386">
        <v>0.2</v>
      </c>
      <c r="Q2386">
        <v>6.25</v>
      </c>
      <c r="R2386"/>
      <c r="S2386"/>
      <c r="T2386"/>
      <c r="U2386"/>
      <c r="V2386"/>
      <c r="W2386">
        <v>18</v>
      </c>
    </row>
    <row r="2387" spans="1:23">
      <c r="A2387"/>
      <c r="B2387" t="s">
        <v>71</v>
      </c>
      <c r="C2387" t="s">
        <v>71</v>
      </c>
      <c r="D2387" t="s">
        <v>33</v>
      </c>
      <c r="E2387" t="s">
        <v>34</v>
      </c>
      <c r="F2387" t="str">
        <f>"0002694"</f>
        <v>0002694</v>
      </c>
      <c r="G2387">
        <v>1</v>
      </c>
      <c r="H2387" t="str">
        <f>"00000000"</f>
        <v>00000000</v>
      </c>
      <c r="I2387" t="s">
        <v>35</v>
      </c>
      <c r="J2387"/>
      <c r="K2387">
        <v>4.15</v>
      </c>
      <c r="L2387">
        <v>0.0</v>
      </c>
      <c r="M2387"/>
      <c r="N2387"/>
      <c r="O2387">
        <v>0.75</v>
      </c>
      <c r="P2387">
        <v>0.0</v>
      </c>
      <c r="Q2387">
        <v>4.9</v>
      </c>
      <c r="R2387"/>
      <c r="S2387"/>
      <c r="T2387"/>
      <c r="U2387"/>
      <c r="V2387"/>
      <c r="W2387">
        <v>18</v>
      </c>
    </row>
    <row r="2388" spans="1:23">
      <c r="A2388"/>
      <c r="B2388" t="s">
        <v>71</v>
      </c>
      <c r="C2388" t="s">
        <v>71</v>
      </c>
      <c r="D2388" t="s">
        <v>33</v>
      </c>
      <c r="E2388" t="s">
        <v>34</v>
      </c>
      <c r="F2388" t="str">
        <f>"0002695"</f>
        <v>0002695</v>
      </c>
      <c r="G2388">
        <v>1</v>
      </c>
      <c r="H2388" t="str">
        <f>"00000000"</f>
        <v>00000000</v>
      </c>
      <c r="I2388" t="s">
        <v>35</v>
      </c>
      <c r="J2388"/>
      <c r="K2388">
        <v>8.9</v>
      </c>
      <c r="L2388">
        <v>0.0</v>
      </c>
      <c r="M2388"/>
      <c r="N2388"/>
      <c r="O2388">
        <v>1.6</v>
      </c>
      <c r="P2388">
        <v>0.0</v>
      </c>
      <c r="Q2388">
        <v>10.5</v>
      </c>
      <c r="R2388"/>
      <c r="S2388"/>
      <c r="T2388"/>
      <c r="U2388"/>
      <c r="V2388"/>
      <c r="W2388">
        <v>18</v>
      </c>
    </row>
    <row r="2389" spans="1:23">
      <c r="A2389"/>
      <c r="B2389" t="s">
        <v>71</v>
      </c>
      <c r="C2389" t="s">
        <v>71</v>
      </c>
      <c r="D2389" t="s">
        <v>33</v>
      </c>
      <c r="E2389" t="s">
        <v>34</v>
      </c>
      <c r="F2389" t="str">
        <f>"0002696"</f>
        <v>0002696</v>
      </c>
      <c r="G2389">
        <v>1</v>
      </c>
      <c r="H2389" t="str">
        <f>"00000000"</f>
        <v>00000000</v>
      </c>
      <c r="I2389" t="s">
        <v>35</v>
      </c>
      <c r="J2389"/>
      <c r="K2389">
        <v>6.67</v>
      </c>
      <c r="L2389">
        <v>0.0</v>
      </c>
      <c r="M2389"/>
      <c r="N2389"/>
      <c r="O2389">
        <v>1.2</v>
      </c>
      <c r="P2389">
        <v>0.2</v>
      </c>
      <c r="Q2389">
        <v>8.07</v>
      </c>
      <c r="R2389"/>
      <c r="S2389"/>
      <c r="T2389"/>
      <c r="U2389"/>
      <c r="V2389"/>
      <c r="W2389">
        <v>18</v>
      </c>
    </row>
    <row r="2390" spans="1:23">
      <c r="A2390"/>
      <c r="B2390" t="s">
        <v>71</v>
      </c>
      <c r="C2390" t="s">
        <v>71</v>
      </c>
      <c r="D2390" t="s">
        <v>33</v>
      </c>
      <c r="E2390" t="s">
        <v>34</v>
      </c>
      <c r="F2390" t="str">
        <f>"0002697"</f>
        <v>0002697</v>
      </c>
      <c r="G2390">
        <v>1</v>
      </c>
      <c r="H2390" t="str">
        <f>"00000000"</f>
        <v>00000000</v>
      </c>
      <c r="I2390" t="s">
        <v>35</v>
      </c>
      <c r="J2390"/>
      <c r="K2390">
        <v>1.53</v>
      </c>
      <c r="L2390">
        <v>0.0</v>
      </c>
      <c r="M2390"/>
      <c r="N2390"/>
      <c r="O2390">
        <v>0.27</v>
      </c>
      <c r="P2390">
        <v>0.0</v>
      </c>
      <c r="Q2390">
        <v>1.8</v>
      </c>
      <c r="R2390"/>
      <c r="S2390"/>
      <c r="T2390"/>
      <c r="U2390"/>
      <c r="V2390"/>
      <c r="W2390">
        <v>18</v>
      </c>
    </row>
    <row r="2391" spans="1:23">
      <c r="A2391"/>
      <c r="B2391" t="s">
        <v>71</v>
      </c>
      <c r="C2391" t="s">
        <v>71</v>
      </c>
      <c r="D2391" t="s">
        <v>33</v>
      </c>
      <c r="E2391" t="s">
        <v>34</v>
      </c>
      <c r="F2391" t="str">
        <f>"0002698"</f>
        <v>0002698</v>
      </c>
      <c r="G2391">
        <v>1</v>
      </c>
      <c r="H2391" t="str">
        <f>"00000000"</f>
        <v>00000000</v>
      </c>
      <c r="I2391" t="s">
        <v>35</v>
      </c>
      <c r="J2391"/>
      <c r="K2391">
        <v>9.34</v>
      </c>
      <c r="L2391">
        <v>0.0</v>
      </c>
      <c r="M2391"/>
      <c r="N2391"/>
      <c r="O2391">
        <v>1.68</v>
      </c>
      <c r="P2391">
        <v>0.2</v>
      </c>
      <c r="Q2391">
        <v>11.22</v>
      </c>
      <c r="R2391"/>
      <c r="S2391"/>
      <c r="T2391"/>
      <c r="U2391"/>
      <c r="V2391"/>
      <c r="W2391">
        <v>18</v>
      </c>
    </row>
    <row r="2392" spans="1:23">
      <c r="A2392"/>
      <c r="B2392" t="s">
        <v>71</v>
      </c>
      <c r="C2392" t="s">
        <v>71</v>
      </c>
      <c r="D2392" t="s">
        <v>33</v>
      </c>
      <c r="E2392" t="s">
        <v>34</v>
      </c>
      <c r="F2392" t="str">
        <f>"0002699"</f>
        <v>0002699</v>
      </c>
      <c r="G2392">
        <v>1</v>
      </c>
      <c r="H2392" t="str">
        <f>"00000000"</f>
        <v>00000000</v>
      </c>
      <c r="I2392" t="s">
        <v>35</v>
      </c>
      <c r="J2392"/>
      <c r="K2392">
        <v>27.38</v>
      </c>
      <c r="L2392">
        <v>0.0</v>
      </c>
      <c r="M2392"/>
      <c r="N2392"/>
      <c r="O2392">
        <v>4.93</v>
      </c>
      <c r="P2392">
        <v>0.2</v>
      </c>
      <c r="Q2392">
        <v>32.5</v>
      </c>
      <c r="R2392"/>
      <c r="S2392"/>
      <c r="T2392"/>
      <c r="U2392"/>
      <c r="V2392"/>
      <c r="W2392">
        <v>18</v>
      </c>
    </row>
    <row r="2393" spans="1:23">
      <c r="A2393"/>
      <c r="B2393" t="s">
        <v>71</v>
      </c>
      <c r="C2393" t="s">
        <v>71</v>
      </c>
      <c r="D2393" t="s">
        <v>33</v>
      </c>
      <c r="E2393" t="s">
        <v>34</v>
      </c>
      <c r="F2393" t="str">
        <f>"0002700"</f>
        <v>0002700</v>
      </c>
      <c r="G2393">
        <v>1</v>
      </c>
      <c r="H2393" t="str">
        <f>"00000000"</f>
        <v>00000000</v>
      </c>
      <c r="I2393" t="s">
        <v>35</v>
      </c>
      <c r="J2393"/>
      <c r="K2393">
        <v>3.81</v>
      </c>
      <c r="L2393">
        <v>0.0</v>
      </c>
      <c r="M2393"/>
      <c r="N2393"/>
      <c r="O2393">
        <v>0.69</v>
      </c>
      <c r="P2393">
        <v>0.0</v>
      </c>
      <c r="Q2393">
        <v>4.5</v>
      </c>
      <c r="R2393"/>
      <c r="S2393"/>
      <c r="T2393"/>
      <c r="U2393"/>
      <c r="V2393"/>
      <c r="W2393">
        <v>18</v>
      </c>
    </row>
    <row r="2394" spans="1:23">
      <c r="A2394"/>
      <c r="B2394" t="s">
        <v>71</v>
      </c>
      <c r="C2394" t="s">
        <v>71</v>
      </c>
      <c r="D2394" t="s">
        <v>33</v>
      </c>
      <c r="E2394" t="s">
        <v>34</v>
      </c>
      <c r="F2394" t="str">
        <f>"0002701"</f>
        <v>0002701</v>
      </c>
      <c r="G2394">
        <v>1</v>
      </c>
      <c r="H2394" t="str">
        <f>"00000000"</f>
        <v>00000000</v>
      </c>
      <c r="I2394" t="s">
        <v>35</v>
      </c>
      <c r="J2394"/>
      <c r="K2394">
        <v>26.18</v>
      </c>
      <c r="L2394">
        <v>0.0</v>
      </c>
      <c r="M2394"/>
      <c r="N2394"/>
      <c r="O2394">
        <v>4.71</v>
      </c>
      <c r="P2394">
        <v>0.0</v>
      </c>
      <c r="Q2394">
        <v>30.89</v>
      </c>
      <c r="R2394"/>
      <c r="S2394"/>
      <c r="T2394"/>
      <c r="U2394"/>
      <c r="V2394"/>
      <c r="W2394">
        <v>18</v>
      </c>
    </row>
    <row r="2395" spans="1:23">
      <c r="A2395"/>
      <c r="B2395" t="s">
        <v>71</v>
      </c>
      <c r="C2395" t="s">
        <v>71</v>
      </c>
      <c r="D2395" t="s">
        <v>33</v>
      </c>
      <c r="E2395" t="s">
        <v>34</v>
      </c>
      <c r="F2395" t="str">
        <f>"0002702"</f>
        <v>0002702</v>
      </c>
      <c r="G2395">
        <v>1</v>
      </c>
      <c r="H2395" t="str">
        <f>"00000000"</f>
        <v>00000000</v>
      </c>
      <c r="I2395" t="s">
        <v>35</v>
      </c>
      <c r="J2395"/>
      <c r="K2395">
        <v>49.68</v>
      </c>
      <c r="L2395">
        <v>0.0</v>
      </c>
      <c r="M2395"/>
      <c r="N2395"/>
      <c r="O2395">
        <v>8.94</v>
      </c>
      <c r="P2395">
        <v>0.4</v>
      </c>
      <c r="Q2395">
        <v>59.02</v>
      </c>
      <c r="R2395"/>
      <c r="S2395"/>
      <c r="T2395"/>
      <c r="U2395"/>
      <c r="V2395"/>
      <c r="W2395">
        <v>18</v>
      </c>
    </row>
    <row r="2396" spans="1:23">
      <c r="A2396"/>
      <c r="B2396" t="s">
        <v>71</v>
      </c>
      <c r="C2396" t="s">
        <v>71</v>
      </c>
      <c r="D2396" t="s">
        <v>33</v>
      </c>
      <c r="E2396" t="s">
        <v>34</v>
      </c>
      <c r="F2396" t="str">
        <f>"0002703"</f>
        <v>0002703</v>
      </c>
      <c r="G2396">
        <v>1</v>
      </c>
      <c r="H2396" t="str">
        <f>"00000000"</f>
        <v>00000000</v>
      </c>
      <c r="I2396" t="s">
        <v>35</v>
      </c>
      <c r="J2396"/>
      <c r="K2396">
        <v>16.53</v>
      </c>
      <c r="L2396">
        <v>0.0</v>
      </c>
      <c r="M2396"/>
      <c r="N2396"/>
      <c r="O2396">
        <v>2.97</v>
      </c>
      <c r="P2396">
        <v>0.0</v>
      </c>
      <c r="Q2396">
        <v>19.5</v>
      </c>
      <c r="R2396"/>
      <c r="S2396"/>
      <c r="T2396"/>
      <c r="U2396"/>
      <c r="V2396"/>
      <c r="W2396">
        <v>18</v>
      </c>
    </row>
    <row r="2397" spans="1:23">
      <c r="A2397"/>
      <c r="B2397" t="s">
        <v>71</v>
      </c>
      <c r="C2397" t="s">
        <v>71</v>
      </c>
      <c r="D2397" t="s">
        <v>33</v>
      </c>
      <c r="E2397" t="s">
        <v>34</v>
      </c>
      <c r="F2397" t="str">
        <f>"0002704"</f>
        <v>0002704</v>
      </c>
      <c r="G2397">
        <v>1</v>
      </c>
      <c r="H2397" t="str">
        <f>"00000000"</f>
        <v>00000000</v>
      </c>
      <c r="I2397" t="s">
        <v>35</v>
      </c>
      <c r="J2397"/>
      <c r="K2397">
        <v>17.92</v>
      </c>
      <c r="L2397">
        <v>0.0</v>
      </c>
      <c r="M2397"/>
      <c r="N2397"/>
      <c r="O2397">
        <v>3.23</v>
      </c>
      <c r="P2397">
        <v>0.0</v>
      </c>
      <c r="Q2397">
        <v>21.15</v>
      </c>
      <c r="R2397"/>
      <c r="S2397"/>
      <c r="T2397"/>
      <c r="U2397"/>
      <c r="V2397"/>
      <c r="W2397">
        <v>18</v>
      </c>
    </row>
    <row r="2398" spans="1:23">
      <c r="A2398"/>
      <c r="B2398" t="s">
        <v>71</v>
      </c>
      <c r="C2398" t="s">
        <v>71</v>
      </c>
      <c r="D2398" t="s">
        <v>33</v>
      </c>
      <c r="E2398" t="s">
        <v>34</v>
      </c>
      <c r="F2398" t="str">
        <f>"0002705"</f>
        <v>0002705</v>
      </c>
      <c r="G2398">
        <v>1</v>
      </c>
      <c r="H2398" t="str">
        <f>"00000000"</f>
        <v>00000000</v>
      </c>
      <c r="I2398" t="s">
        <v>35</v>
      </c>
      <c r="J2398"/>
      <c r="K2398">
        <v>8.81</v>
      </c>
      <c r="L2398">
        <v>0.0</v>
      </c>
      <c r="M2398"/>
      <c r="N2398"/>
      <c r="O2398">
        <v>1.59</v>
      </c>
      <c r="P2398">
        <v>0.0</v>
      </c>
      <c r="Q2398">
        <v>10.4</v>
      </c>
      <c r="R2398"/>
      <c r="S2398"/>
      <c r="T2398"/>
      <c r="U2398"/>
      <c r="V2398"/>
      <c r="W2398">
        <v>18</v>
      </c>
    </row>
    <row r="2399" spans="1:23">
      <c r="A2399"/>
      <c r="B2399" t="s">
        <v>71</v>
      </c>
      <c r="C2399" t="s">
        <v>71</v>
      </c>
      <c r="D2399" t="s">
        <v>33</v>
      </c>
      <c r="E2399" t="s">
        <v>34</v>
      </c>
      <c r="F2399" t="str">
        <f>"0002706"</f>
        <v>0002706</v>
      </c>
      <c r="G2399">
        <v>1</v>
      </c>
      <c r="H2399" t="str">
        <f>"00000000"</f>
        <v>00000000</v>
      </c>
      <c r="I2399" t="s">
        <v>35</v>
      </c>
      <c r="J2399"/>
      <c r="K2399">
        <v>18.06</v>
      </c>
      <c r="L2399">
        <v>0.0</v>
      </c>
      <c r="M2399"/>
      <c r="N2399"/>
      <c r="O2399">
        <v>3.25</v>
      </c>
      <c r="P2399">
        <v>0.2</v>
      </c>
      <c r="Q2399">
        <v>21.51</v>
      </c>
      <c r="R2399"/>
      <c r="S2399"/>
      <c r="T2399"/>
      <c r="U2399"/>
      <c r="V2399"/>
      <c r="W2399">
        <v>18</v>
      </c>
    </row>
    <row r="2400" spans="1:23">
      <c r="A2400"/>
      <c r="B2400" t="s">
        <v>71</v>
      </c>
      <c r="C2400" t="s">
        <v>71</v>
      </c>
      <c r="D2400" t="s">
        <v>33</v>
      </c>
      <c r="E2400" t="s">
        <v>34</v>
      </c>
      <c r="F2400" t="str">
        <f>"0002707"</f>
        <v>0002707</v>
      </c>
      <c r="G2400">
        <v>1</v>
      </c>
      <c r="H2400" t="str">
        <f>"00000000"</f>
        <v>00000000</v>
      </c>
      <c r="I2400" t="s">
        <v>35</v>
      </c>
      <c r="J2400"/>
      <c r="K2400">
        <v>3.73</v>
      </c>
      <c r="L2400">
        <v>0.0</v>
      </c>
      <c r="M2400"/>
      <c r="N2400"/>
      <c r="O2400">
        <v>0.67</v>
      </c>
      <c r="P2400">
        <v>0.0</v>
      </c>
      <c r="Q2400">
        <v>4.4</v>
      </c>
      <c r="R2400"/>
      <c r="S2400"/>
      <c r="T2400"/>
      <c r="U2400"/>
      <c r="V2400"/>
      <c r="W2400">
        <v>18</v>
      </c>
    </row>
    <row r="2401" spans="1:23">
      <c r="A2401"/>
      <c r="B2401" t="s">
        <v>71</v>
      </c>
      <c r="C2401" t="s">
        <v>71</v>
      </c>
      <c r="D2401" t="s">
        <v>33</v>
      </c>
      <c r="E2401" t="s">
        <v>34</v>
      </c>
      <c r="F2401" t="str">
        <f>"0002708"</f>
        <v>0002708</v>
      </c>
      <c r="G2401">
        <v>1</v>
      </c>
      <c r="H2401" t="str">
        <f>"00000000"</f>
        <v>00000000</v>
      </c>
      <c r="I2401" t="s">
        <v>35</v>
      </c>
      <c r="J2401"/>
      <c r="K2401">
        <v>2.2</v>
      </c>
      <c r="L2401">
        <v>0.0</v>
      </c>
      <c r="M2401"/>
      <c r="N2401"/>
      <c r="O2401">
        <v>0.4</v>
      </c>
      <c r="P2401">
        <v>0.0</v>
      </c>
      <c r="Q2401">
        <v>2.6</v>
      </c>
      <c r="R2401"/>
      <c r="S2401"/>
      <c r="T2401"/>
      <c r="U2401"/>
      <c r="V2401"/>
      <c r="W2401">
        <v>18</v>
      </c>
    </row>
    <row r="2402" spans="1:23">
      <c r="A2402"/>
      <c r="B2402" t="s">
        <v>71</v>
      </c>
      <c r="C2402" t="s">
        <v>71</v>
      </c>
      <c r="D2402" t="s">
        <v>33</v>
      </c>
      <c r="E2402" t="s">
        <v>34</v>
      </c>
      <c r="F2402" t="str">
        <f>"0002709"</f>
        <v>0002709</v>
      </c>
      <c r="G2402">
        <v>1</v>
      </c>
      <c r="H2402" t="str">
        <f>"00000000"</f>
        <v>00000000</v>
      </c>
      <c r="I2402" t="s">
        <v>35</v>
      </c>
      <c r="J2402"/>
      <c r="K2402">
        <v>26.74</v>
      </c>
      <c r="L2402">
        <v>0.0</v>
      </c>
      <c r="M2402"/>
      <c r="N2402"/>
      <c r="O2402">
        <v>4.81</v>
      </c>
      <c r="P2402">
        <v>0.0</v>
      </c>
      <c r="Q2402">
        <v>31.55</v>
      </c>
      <c r="R2402"/>
      <c r="S2402"/>
      <c r="T2402"/>
      <c r="U2402"/>
      <c r="V2402"/>
      <c r="W2402">
        <v>18</v>
      </c>
    </row>
    <row r="2403" spans="1:23">
      <c r="A2403"/>
      <c r="B2403" t="s">
        <v>71</v>
      </c>
      <c r="C2403" t="s">
        <v>71</v>
      </c>
      <c r="D2403" t="s">
        <v>33</v>
      </c>
      <c r="E2403" t="s">
        <v>34</v>
      </c>
      <c r="F2403" t="str">
        <f>"0002710"</f>
        <v>0002710</v>
      </c>
      <c r="G2403">
        <v>1</v>
      </c>
      <c r="H2403" t="str">
        <f>"00000000"</f>
        <v>00000000</v>
      </c>
      <c r="I2403" t="s">
        <v>35</v>
      </c>
      <c r="J2403"/>
      <c r="K2403">
        <v>13.64</v>
      </c>
      <c r="L2403">
        <v>0.0</v>
      </c>
      <c r="M2403"/>
      <c r="N2403"/>
      <c r="O2403">
        <v>2.46</v>
      </c>
      <c r="P2403">
        <v>0.0</v>
      </c>
      <c r="Q2403">
        <v>16.1</v>
      </c>
      <c r="R2403"/>
      <c r="S2403"/>
      <c r="T2403"/>
      <c r="U2403"/>
      <c r="V2403"/>
      <c r="W2403">
        <v>18</v>
      </c>
    </row>
    <row r="2404" spans="1:23">
      <c r="A2404"/>
      <c r="B2404" t="s">
        <v>71</v>
      </c>
      <c r="C2404" t="s">
        <v>71</v>
      </c>
      <c r="D2404" t="s">
        <v>33</v>
      </c>
      <c r="E2404" t="s">
        <v>34</v>
      </c>
      <c r="F2404" t="str">
        <f>"0002711"</f>
        <v>0002711</v>
      </c>
      <c r="G2404">
        <v>1</v>
      </c>
      <c r="H2404" t="str">
        <f>"00000000"</f>
        <v>00000000</v>
      </c>
      <c r="I2404" t="s">
        <v>35</v>
      </c>
      <c r="J2404"/>
      <c r="K2404">
        <v>4.15</v>
      </c>
      <c r="L2404">
        <v>0.0</v>
      </c>
      <c r="M2404"/>
      <c r="N2404"/>
      <c r="O2404">
        <v>0.75</v>
      </c>
      <c r="P2404">
        <v>0.0</v>
      </c>
      <c r="Q2404">
        <v>4.9</v>
      </c>
      <c r="R2404"/>
      <c r="S2404"/>
      <c r="T2404"/>
      <c r="U2404"/>
      <c r="V2404"/>
      <c r="W2404">
        <v>18</v>
      </c>
    </row>
    <row r="2405" spans="1:23">
      <c r="A2405"/>
      <c r="B2405" t="s">
        <v>71</v>
      </c>
      <c r="C2405" t="s">
        <v>71</v>
      </c>
      <c r="D2405" t="s">
        <v>33</v>
      </c>
      <c r="E2405" t="s">
        <v>34</v>
      </c>
      <c r="F2405" t="str">
        <f>"0002712"</f>
        <v>0002712</v>
      </c>
      <c r="G2405">
        <v>1</v>
      </c>
      <c r="H2405" t="str">
        <f>"00000000"</f>
        <v>00000000</v>
      </c>
      <c r="I2405" t="s">
        <v>35</v>
      </c>
      <c r="J2405"/>
      <c r="K2405">
        <v>5.91</v>
      </c>
      <c r="L2405">
        <v>0.0</v>
      </c>
      <c r="M2405"/>
      <c r="N2405"/>
      <c r="O2405">
        <v>1.06</v>
      </c>
      <c r="P2405">
        <v>0.0</v>
      </c>
      <c r="Q2405">
        <v>6.97</v>
      </c>
      <c r="R2405"/>
      <c r="S2405"/>
      <c r="T2405"/>
      <c r="U2405"/>
      <c r="V2405"/>
      <c r="W2405">
        <v>18</v>
      </c>
    </row>
    <row r="2406" spans="1:23">
      <c r="A2406"/>
      <c r="B2406" t="s">
        <v>71</v>
      </c>
      <c r="C2406" t="s">
        <v>71</v>
      </c>
      <c r="D2406" t="s">
        <v>33</v>
      </c>
      <c r="E2406" t="s">
        <v>34</v>
      </c>
      <c r="F2406" t="str">
        <f>"0002713"</f>
        <v>0002713</v>
      </c>
      <c r="G2406">
        <v>1</v>
      </c>
      <c r="H2406" t="str">
        <f>"00000000"</f>
        <v>00000000</v>
      </c>
      <c r="I2406" t="s">
        <v>35</v>
      </c>
      <c r="J2406"/>
      <c r="K2406">
        <v>14.41</v>
      </c>
      <c r="L2406">
        <v>0.0</v>
      </c>
      <c r="M2406"/>
      <c r="N2406"/>
      <c r="O2406">
        <v>2.59</v>
      </c>
      <c r="P2406">
        <v>0.0</v>
      </c>
      <c r="Q2406">
        <v>17.0</v>
      </c>
      <c r="R2406"/>
      <c r="S2406"/>
      <c r="T2406"/>
      <c r="U2406"/>
      <c r="V2406"/>
      <c r="W2406">
        <v>18</v>
      </c>
    </row>
    <row r="2407" spans="1:23">
      <c r="A2407"/>
      <c r="B2407" t="s">
        <v>71</v>
      </c>
      <c r="C2407" t="s">
        <v>71</v>
      </c>
      <c r="D2407" t="s">
        <v>33</v>
      </c>
      <c r="E2407" t="s">
        <v>34</v>
      </c>
      <c r="F2407" t="str">
        <f>"0002714"</f>
        <v>0002714</v>
      </c>
      <c r="G2407">
        <v>1</v>
      </c>
      <c r="H2407" t="str">
        <f>"00000000"</f>
        <v>00000000</v>
      </c>
      <c r="I2407" t="s">
        <v>35</v>
      </c>
      <c r="J2407"/>
      <c r="K2407">
        <v>3.83</v>
      </c>
      <c r="L2407">
        <v>0.0</v>
      </c>
      <c r="M2407"/>
      <c r="N2407"/>
      <c r="O2407">
        <v>0.69</v>
      </c>
      <c r="P2407">
        <v>0.2</v>
      </c>
      <c r="Q2407">
        <v>4.72</v>
      </c>
      <c r="R2407"/>
      <c r="S2407"/>
      <c r="T2407"/>
      <c r="U2407"/>
      <c r="V2407"/>
      <c r="W2407">
        <v>18</v>
      </c>
    </row>
    <row r="2408" spans="1:23">
      <c r="A2408"/>
      <c r="B2408" t="s">
        <v>71</v>
      </c>
      <c r="C2408" t="s">
        <v>71</v>
      </c>
      <c r="D2408" t="s">
        <v>33</v>
      </c>
      <c r="E2408" t="s">
        <v>34</v>
      </c>
      <c r="F2408" t="str">
        <f>"0002715"</f>
        <v>0002715</v>
      </c>
      <c r="G2408">
        <v>1</v>
      </c>
      <c r="H2408" t="str">
        <f>"00000000"</f>
        <v>00000000</v>
      </c>
      <c r="I2408" t="s">
        <v>35</v>
      </c>
      <c r="J2408"/>
      <c r="K2408">
        <v>108.07</v>
      </c>
      <c r="L2408">
        <v>0.0</v>
      </c>
      <c r="M2408"/>
      <c r="N2408"/>
      <c r="O2408">
        <v>19.45</v>
      </c>
      <c r="P2408">
        <v>0.0</v>
      </c>
      <c r="Q2408">
        <v>127.52</v>
      </c>
      <c r="R2408"/>
      <c r="S2408"/>
      <c r="T2408"/>
      <c r="U2408"/>
      <c r="V2408"/>
      <c r="W2408">
        <v>18</v>
      </c>
    </row>
    <row r="2409" spans="1:23">
      <c r="A2409"/>
      <c r="B2409" t="s">
        <v>71</v>
      </c>
      <c r="C2409" t="s">
        <v>71</v>
      </c>
      <c r="D2409" t="s">
        <v>33</v>
      </c>
      <c r="E2409" t="s">
        <v>34</v>
      </c>
      <c r="F2409" t="str">
        <f>"0002716"</f>
        <v>0002716</v>
      </c>
      <c r="G2409">
        <v>1</v>
      </c>
      <c r="H2409" t="str">
        <f>"00000000"</f>
        <v>00000000</v>
      </c>
      <c r="I2409" t="s">
        <v>35</v>
      </c>
      <c r="J2409"/>
      <c r="K2409">
        <v>2.54</v>
      </c>
      <c r="L2409">
        <v>0.0</v>
      </c>
      <c r="M2409"/>
      <c r="N2409"/>
      <c r="O2409">
        <v>0.46</v>
      </c>
      <c r="P2409">
        <v>0.0</v>
      </c>
      <c r="Q2409">
        <v>3.0</v>
      </c>
      <c r="R2409"/>
      <c r="S2409"/>
      <c r="T2409"/>
      <c r="U2409"/>
      <c r="V2409"/>
      <c r="W2409">
        <v>18</v>
      </c>
    </row>
    <row r="2410" spans="1:23">
      <c r="A2410"/>
      <c r="B2410" t="s">
        <v>71</v>
      </c>
      <c r="C2410" t="s">
        <v>71</v>
      </c>
      <c r="D2410" t="s">
        <v>33</v>
      </c>
      <c r="E2410" t="s">
        <v>34</v>
      </c>
      <c r="F2410" t="str">
        <f>"0002717"</f>
        <v>0002717</v>
      </c>
      <c r="G2410">
        <v>1</v>
      </c>
      <c r="H2410" t="str">
        <f>"00000000"</f>
        <v>00000000</v>
      </c>
      <c r="I2410" t="s">
        <v>35</v>
      </c>
      <c r="J2410"/>
      <c r="K2410">
        <v>4.79</v>
      </c>
      <c r="L2410">
        <v>0.0</v>
      </c>
      <c r="M2410"/>
      <c r="N2410"/>
      <c r="O2410">
        <v>0.86</v>
      </c>
      <c r="P2410">
        <v>0.0</v>
      </c>
      <c r="Q2410">
        <v>5.65</v>
      </c>
      <c r="R2410"/>
      <c r="S2410"/>
      <c r="T2410"/>
      <c r="U2410"/>
      <c r="V2410"/>
      <c r="W2410">
        <v>18</v>
      </c>
    </row>
    <row r="2411" spans="1:23">
      <c r="A2411"/>
      <c r="B2411" t="s">
        <v>71</v>
      </c>
      <c r="C2411" t="s">
        <v>71</v>
      </c>
      <c r="D2411" t="s">
        <v>33</v>
      </c>
      <c r="E2411" t="s">
        <v>34</v>
      </c>
      <c r="F2411" t="str">
        <f>"0002718"</f>
        <v>0002718</v>
      </c>
      <c r="G2411">
        <v>1</v>
      </c>
      <c r="H2411" t="str">
        <f>"00000000"</f>
        <v>00000000</v>
      </c>
      <c r="I2411" t="s">
        <v>35</v>
      </c>
      <c r="J2411"/>
      <c r="K2411">
        <v>3.9</v>
      </c>
      <c r="L2411">
        <v>0.0</v>
      </c>
      <c r="M2411"/>
      <c r="N2411"/>
      <c r="O2411">
        <v>0.7</v>
      </c>
      <c r="P2411">
        <v>0.0</v>
      </c>
      <c r="Q2411">
        <v>4.6</v>
      </c>
      <c r="R2411"/>
      <c r="S2411"/>
      <c r="T2411"/>
      <c r="U2411"/>
      <c r="V2411"/>
      <c r="W2411">
        <v>18</v>
      </c>
    </row>
    <row r="2412" spans="1:23">
      <c r="A2412"/>
      <c r="B2412" t="s">
        <v>71</v>
      </c>
      <c r="C2412" t="s">
        <v>71</v>
      </c>
      <c r="D2412" t="s">
        <v>33</v>
      </c>
      <c r="E2412" t="s">
        <v>34</v>
      </c>
      <c r="F2412" t="str">
        <f>"0002719"</f>
        <v>0002719</v>
      </c>
      <c r="G2412">
        <v>1</v>
      </c>
      <c r="H2412" t="str">
        <f>"00000000"</f>
        <v>00000000</v>
      </c>
      <c r="I2412" t="s">
        <v>35</v>
      </c>
      <c r="J2412"/>
      <c r="K2412">
        <v>2.37</v>
      </c>
      <c r="L2412">
        <v>0.0</v>
      </c>
      <c r="M2412"/>
      <c r="N2412"/>
      <c r="O2412">
        <v>0.43</v>
      </c>
      <c r="P2412">
        <v>0.0</v>
      </c>
      <c r="Q2412">
        <v>2.8</v>
      </c>
      <c r="R2412"/>
      <c r="S2412"/>
      <c r="T2412"/>
      <c r="U2412"/>
      <c r="V2412"/>
      <c r="W2412">
        <v>18</v>
      </c>
    </row>
    <row r="2413" spans="1:23">
      <c r="A2413"/>
      <c r="B2413" t="s">
        <v>71</v>
      </c>
      <c r="C2413" t="s">
        <v>71</v>
      </c>
      <c r="D2413" t="s">
        <v>33</v>
      </c>
      <c r="E2413" t="s">
        <v>34</v>
      </c>
      <c r="F2413" t="str">
        <f>"0002720"</f>
        <v>0002720</v>
      </c>
      <c r="G2413">
        <v>1</v>
      </c>
      <c r="H2413" t="str">
        <f>"00000000"</f>
        <v>00000000</v>
      </c>
      <c r="I2413" t="s">
        <v>35</v>
      </c>
      <c r="J2413"/>
      <c r="K2413">
        <v>27.73</v>
      </c>
      <c r="L2413">
        <v>0.0</v>
      </c>
      <c r="M2413"/>
      <c r="N2413"/>
      <c r="O2413">
        <v>4.99</v>
      </c>
      <c r="P2413">
        <v>0.2</v>
      </c>
      <c r="Q2413">
        <v>32.92</v>
      </c>
      <c r="R2413"/>
      <c r="S2413"/>
      <c r="T2413"/>
      <c r="U2413"/>
      <c r="V2413"/>
      <c r="W2413">
        <v>18</v>
      </c>
    </row>
    <row r="2414" spans="1:23">
      <c r="A2414"/>
      <c r="B2414" t="s">
        <v>71</v>
      </c>
      <c r="C2414" t="s">
        <v>71</v>
      </c>
      <c r="D2414" t="s">
        <v>33</v>
      </c>
      <c r="E2414" t="s">
        <v>34</v>
      </c>
      <c r="F2414" t="str">
        <f>"0002721"</f>
        <v>0002721</v>
      </c>
      <c r="G2414">
        <v>1</v>
      </c>
      <c r="H2414" t="str">
        <f>"00000000"</f>
        <v>00000000</v>
      </c>
      <c r="I2414" t="s">
        <v>35</v>
      </c>
      <c r="J2414"/>
      <c r="K2414">
        <v>7.9</v>
      </c>
      <c r="L2414">
        <v>0.0</v>
      </c>
      <c r="M2414"/>
      <c r="N2414"/>
      <c r="O2414">
        <v>1.42</v>
      </c>
      <c r="P2414">
        <v>0.2</v>
      </c>
      <c r="Q2414">
        <v>9.52</v>
      </c>
      <c r="R2414"/>
      <c r="S2414"/>
      <c r="T2414"/>
      <c r="U2414"/>
      <c r="V2414"/>
      <c r="W2414">
        <v>18</v>
      </c>
    </row>
    <row r="2415" spans="1:23">
      <c r="A2415"/>
      <c r="B2415" t="s">
        <v>71</v>
      </c>
      <c r="C2415" t="s">
        <v>71</v>
      </c>
      <c r="D2415" t="s">
        <v>33</v>
      </c>
      <c r="E2415" t="s">
        <v>34</v>
      </c>
      <c r="F2415" t="str">
        <f>"0002722"</f>
        <v>0002722</v>
      </c>
      <c r="G2415">
        <v>1</v>
      </c>
      <c r="H2415" t="str">
        <f>"00000000"</f>
        <v>00000000</v>
      </c>
      <c r="I2415" t="s">
        <v>35</v>
      </c>
      <c r="J2415"/>
      <c r="K2415">
        <v>13.75</v>
      </c>
      <c r="L2415">
        <v>0.0</v>
      </c>
      <c r="M2415"/>
      <c r="N2415"/>
      <c r="O2415">
        <v>2.48</v>
      </c>
      <c r="P2415">
        <v>0.2</v>
      </c>
      <c r="Q2415">
        <v>16.43</v>
      </c>
      <c r="R2415"/>
      <c r="S2415"/>
      <c r="T2415"/>
      <c r="U2415"/>
      <c r="V2415"/>
      <c r="W2415">
        <v>18</v>
      </c>
    </row>
    <row r="2416" spans="1:23">
      <c r="A2416"/>
      <c r="B2416" t="s">
        <v>71</v>
      </c>
      <c r="C2416" t="s">
        <v>71</v>
      </c>
      <c r="D2416" t="s">
        <v>33</v>
      </c>
      <c r="E2416" t="s">
        <v>34</v>
      </c>
      <c r="F2416" t="str">
        <f>"0002723"</f>
        <v>0002723</v>
      </c>
      <c r="G2416">
        <v>1</v>
      </c>
      <c r="H2416" t="str">
        <f>"00000000"</f>
        <v>00000000</v>
      </c>
      <c r="I2416" t="s">
        <v>35</v>
      </c>
      <c r="J2416"/>
      <c r="K2416">
        <v>2.71</v>
      </c>
      <c r="L2416">
        <v>0.0</v>
      </c>
      <c r="M2416"/>
      <c r="N2416"/>
      <c r="O2416">
        <v>0.49</v>
      </c>
      <c r="P2416">
        <v>0.0</v>
      </c>
      <c r="Q2416">
        <v>3.2</v>
      </c>
      <c r="R2416"/>
      <c r="S2416"/>
      <c r="T2416"/>
      <c r="U2416"/>
      <c r="V2416"/>
      <c r="W2416">
        <v>18</v>
      </c>
    </row>
    <row r="2417" spans="1:23">
      <c r="A2417"/>
      <c r="B2417" t="s">
        <v>71</v>
      </c>
      <c r="C2417" t="s">
        <v>71</v>
      </c>
      <c r="D2417" t="s">
        <v>33</v>
      </c>
      <c r="E2417" t="s">
        <v>34</v>
      </c>
      <c r="F2417" t="str">
        <f>"0002724"</f>
        <v>0002724</v>
      </c>
      <c r="G2417">
        <v>1</v>
      </c>
      <c r="H2417" t="str">
        <f>"00000000"</f>
        <v>00000000</v>
      </c>
      <c r="I2417" t="s">
        <v>35</v>
      </c>
      <c r="J2417"/>
      <c r="K2417">
        <v>53.38</v>
      </c>
      <c r="L2417">
        <v>0.0</v>
      </c>
      <c r="M2417"/>
      <c r="N2417"/>
      <c r="O2417">
        <v>9.61</v>
      </c>
      <c r="P2417">
        <v>0.4</v>
      </c>
      <c r="Q2417">
        <v>63.39</v>
      </c>
      <c r="R2417"/>
      <c r="S2417"/>
      <c r="T2417"/>
      <c r="U2417"/>
      <c r="V2417"/>
      <c r="W2417">
        <v>18</v>
      </c>
    </row>
    <row r="2418" spans="1:23">
      <c r="A2418"/>
      <c r="B2418" t="s">
        <v>71</v>
      </c>
      <c r="C2418" t="s">
        <v>71</v>
      </c>
      <c r="D2418" t="s">
        <v>33</v>
      </c>
      <c r="E2418" t="s">
        <v>34</v>
      </c>
      <c r="F2418" t="str">
        <f>"0002725"</f>
        <v>0002725</v>
      </c>
      <c r="G2418">
        <v>1</v>
      </c>
      <c r="H2418" t="str">
        <f>"00000000"</f>
        <v>00000000</v>
      </c>
      <c r="I2418" t="s">
        <v>35</v>
      </c>
      <c r="J2418"/>
      <c r="K2418">
        <v>55.75</v>
      </c>
      <c r="L2418">
        <v>0.0</v>
      </c>
      <c r="M2418"/>
      <c r="N2418"/>
      <c r="O2418">
        <v>10.04</v>
      </c>
      <c r="P2418">
        <v>0.2</v>
      </c>
      <c r="Q2418">
        <v>65.99</v>
      </c>
      <c r="R2418"/>
      <c r="S2418"/>
      <c r="T2418"/>
      <c r="U2418"/>
      <c r="V2418"/>
      <c r="W2418">
        <v>18</v>
      </c>
    </row>
    <row r="2419" spans="1:23">
      <c r="A2419"/>
      <c r="B2419" t="s">
        <v>71</v>
      </c>
      <c r="C2419" t="s">
        <v>71</v>
      </c>
      <c r="D2419" t="s">
        <v>33</v>
      </c>
      <c r="E2419" t="s">
        <v>34</v>
      </c>
      <c r="F2419" t="str">
        <f>"0002726"</f>
        <v>0002726</v>
      </c>
      <c r="G2419">
        <v>1</v>
      </c>
      <c r="H2419" t="str">
        <f>"00000000"</f>
        <v>00000000</v>
      </c>
      <c r="I2419" t="s">
        <v>35</v>
      </c>
      <c r="J2419"/>
      <c r="K2419">
        <v>35.17</v>
      </c>
      <c r="L2419">
        <v>0.0</v>
      </c>
      <c r="M2419"/>
      <c r="N2419"/>
      <c r="O2419">
        <v>6.33</v>
      </c>
      <c r="P2419">
        <v>0.0</v>
      </c>
      <c r="Q2419">
        <v>41.5</v>
      </c>
      <c r="R2419"/>
      <c r="S2419"/>
      <c r="T2419"/>
      <c r="U2419"/>
      <c r="V2419"/>
      <c r="W2419">
        <v>18</v>
      </c>
    </row>
    <row r="2420" spans="1:23">
      <c r="A2420"/>
      <c r="B2420" t="s">
        <v>71</v>
      </c>
      <c r="C2420" t="s">
        <v>71</v>
      </c>
      <c r="D2420" t="s">
        <v>33</v>
      </c>
      <c r="E2420" t="s">
        <v>34</v>
      </c>
      <c r="F2420" t="str">
        <f>"0002727"</f>
        <v>0002727</v>
      </c>
      <c r="G2420">
        <v>1</v>
      </c>
      <c r="H2420" t="str">
        <f>"00000000"</f>
        <v>00000000</v>
      </c>
      <c r="I2420" t="s">
        <v>35</v>
      </c>
      <c r="J2420"/>
      <c r="K2420">
        <v>0.85</v>
      </c>
      <c r="L2420">
        <v>0.0</v>
      </c>
      <c r="M2420"/>
      <c r="N2420"/>
      <c r="O2420">
        <v>0.15</v>
      </c>
      <c r="P2420">
        <v>0.0</v>
      </c>
      <c r="Q2420">
        <v>1.0</v>
      </c>
      <c r="R2420"/>
      <c r="S2420"/>
      <c r="T2420"/>
      <c r="U2420"/>
      <c r="V2420"/>
      <c r="W2420">
        <v>18</v>
      </c>
    </row>
    <row r="2421" spans="1:23">
      <c r="A2421"/>
      <c r="B2421" t="s">
        <v>71</v>
      </c>
      <c r="C2421" t="s">
        <v>71</v>
      </c>
      <c r="D2421" t="s">
        <v>33</v>
      </c>
      <c r="E2421" t="s">
        <v>34</v>
      </c>
      <c r="F2421" t="str">
        <f>"0002728"</f>
        <v>0002728</v>
      </c>
      <c r="G2421">
        <v>1</v>
      </c>
      <c r="H2421" t="str">
        <f>"00000000"</f>
        <v>00000000</v>
      </c>
      <c r="I2421" t="s">
        <v>35</v>
      </c>
      <c r="J2421"/>
      <c r="K2421">
        <v>29.07</v>
      </c>
      <c r="L2421">
        <v>0.0</v>
      </c>
      <c r="M2421"/>
      <c r="N2421"/>
      <c r="O2421">
        <v>5.23</v>
      </c>
      <c r="P2421">
        <v>0.2</v>
      </c>
      <c r="Q2421">
        <v>34.51</v>
      </c>
      <c r="R2421"/>
      <c r="S2421"/>
      <c r="T2421"/>
      <c r="U2421"/>
      <c r="V2421"/>
      <c r="W2421">
        <v>18</v>
      </c>
    </row>
    <row r="2422" spans="1:23">
      <c r="A2422"/>
      <c r="B2422" t="s">
        <v>71</v>
      </c>
      <c r="C2422" t="s">
        <v>71</v>
      </c>
      <c r="D2422" t="s">
        <v>33</v>
      </c>
      <c r="E2422" t="s">
        <v>34</v>
      </c>
      <c r="F2422" t="str">
        <f>"0002729"</f>
        <v>0002729</v>
      </c>
      <c r="G2422">
        <v>1</v>
      </c>
      <c r="H2422" t="str">
        <f>"00000000"</f>
        <v>00000000</v>
      </c>
      <c r="I2422" t="s">
        <v>35</v>
      </c>
      <c r="J2422"/>
      <c r="K2422">
        <v>24.34</v>
      </c>
      <c r="L2422">
        <v>0.0</v>
      </c>
      <c r="M2422"/>
      <c r="N2422"/>
      <c r="O2422">
        <v>4.38</v>
      </c>
      <c r="P2422">
        <v>0.2</v>
      </c>
      <c r="Q2422">
        <v>28.92</v>
      </c>
      <c r="R2422"/>
      <c r="S2422"/>
      <c r="T2422"/>
      <c r="U2422"/>
      <c r="V2422"/>
      <c r="W2422">
        <v>18</v>
      </c>
    </row>
    <row r="2423" spans="1:23">
      <c r="A2423"/>
      <c r="B2423" t="s">
        <v>71</v>
      </c>
      <c r="C2423" t="s">
        <v>71</v>
      </c>
      <c r="D2423" t="s">
        <v>33</v>
      </c>
      <c r="E2423" t="s">
        <v>34</v>
      </c>
      <c r="F2423" t="str">
        <f>"0002730"</f>
        <v>0002730</v>
      </c>
      <c r="G2423">
        <v>1</v>
      </c>
      <c r="H2423" t="str">
        <f>"00000000"</f>
        <v>00000000</v>
      </c>
      <c r="I2423" t="s">
        <v>35</v>
      </c>
      <c r="J2423"/>
      <c r="K2423">
        <v>27.56</v>
      </c>
      <c r="L2423">
        <v>0.0</v>
      </c>
      <c r="M2423"/>
      <c r="N2423"/>
      <c r="O2423">
        <v>4.96</v>
      </c>
      <c r="P2423">
        <v>0.2</v>
      </c>
      <c r="Q2423">
        <v>32.72</v>
      </c>
      <c r="R2423"/>
      <c r="S2423"/>
      <c r="T2423"/>
      <c r="U2423"/>
      <c r="V2423"/>
      <c r="W2423">
        <v>18</v>
      </c>
    </row>
    <row r="2424" spans="1:23">
      <c r="A2424"/>
      <c r="B2424" t="s">
        <v>71</v>
      </c>
      <c r="C2424" t="s">
        <v>71</v>
      </c>
      <c r="D2424" t="s">
        <v>33</v>
      </c>
      <c r="E2424" t="s">
        <v>34</v>
      </c>
      <c r="F2424" t="str">
        <f>"0002731"</f>
        <v>0002731</v>
      </c>
      <c r="G2424">
        <v>1</v>
      </c>
      <c r="H2424" t="str">
        <f>"00000000"</f>
        <v>00000000</v>
      </c>
      <c r="I2424" t="s">
        <v>35</v>
      </c>
      <c r="J2424"/>
      <c r="K2424">
        <v>10.1</v>
      </c>
      <c r="L2424">
        <v>0.0</v>
      </c>
      <c r="M2424"/>
      <c r="N2424"/>
      <c r="O2424">
        <v>1.82</v>
      </c>
      <c r="P2424">
        <v>0.2</v>
      </c>
      <c r="Q2424">
        <v>12.12</v>
      </c>
      <c r="R2424"/>
      <c r="S2424"/>
      <c r="T2424"/>
      <c r="U2424"/>
      <c r="V2424"/>
      <c r="W2424">
        <v>18</v>
      </c>
    </row>
    <row r="2425" spans="1:23">
      <c r="A2425"/>
      <c r="B2425" t="s">
        <v>71</v>
      </c>
      <c r="C2425" t="s">
        <v>71</v>
      </c>
      <c r="D2425" t="s">
        <v>33</v>
      </c>
      <c r="E2425" t="s">
        <v>34</v>
      </c>
      <c r="F2425" t="str">
        <f>"0002732"</f>
        <v>0002732</v>
      </c>
      <c r="G2425">
        <v>1</v>
      </c>
      <c r="H2425" t="str">
        <f>"00000000"</f>
        <v>00000000</v>
      </c>
      <c r="I2425" t="s">
        <v>35</v>
      </c>
      <c r="J2425"/>
      <c r="K2425">
        <v>5.08</v>
      </c>
      <c r="L2425">
        <v>0.0</v>
      </c>
      <c r="M2425"/>
      <c r="N2425"/>
      <c r="O2425">
        <v>0.92</v>
      </c>
      <c r="P2425">
        <v>0.0</v>
      </c>
      <c r="Q2425">
        <v>6.0</v>
      </c>
      <c r="R2425"/>
      <c r="S2425"/>
      <c r="T2425"/>
      <c r="U2425"/>
      <c r="V2425"/>
      <c r="W2425">
        <v>18</v>
      </c>
    </row>
    <row r="2426" spans="1:23">
      <c r="A2426"/>
      <c r="B2426" t="s">
        <v>71</v>
      </c>
      <c r="C2426" t="s">
        <v>71</v>
      </c>
      <c r="D2426" t="s">
        <v>33</v>
      </c>
      <c r="E2426" t="s">
        <v>34</v>
      </c>
      <c r="F2426" t="str">
        <f>"0002733"</f>
        <v>0002733</v>
      </c>
      <c r="G2426">
        <v>1</v>
      </c>
      <c r="H2426" t="str">
        <f>"00000000"</f>
        <v>00000000</v>
      </c>
      <c r="I2426" t="s">
        <v>35</v>
      </c>
      <c r="J2426"/>
      <c r="K2426">
        <v>5.1</v>
      </c>
      <c r="L2426">
        <v>0.0</v>
      </c>
      <c r="M2426"/>
      <c r="N2426"/>
      <c r="O2426">
        <v>0.92</v>
      </c>
      <c r="P2426">
        <v>0.2</v>
      </c>
      <c r="Q2426">
        <v>6.22</v>
      </c>
      <c r="R2426"/>
      <c r="S2426"/>
      <c r="T2426"/>
      <c r="U2426"/>
      <c r="V2426"/>
      <c r="W2426">
        <v>18</v>
      </c>
    </row>
    <row r="2427" spans="1:23">
      <c r="A2427"/>
      <c r="B2427" t="s">
        <v>71</v>
      </c>
      <c r="C2427" t="s">
        <v>71</v>
      </c>
      <c r="D2427" t="s">
        <v>33</v>
      </c>
      <c r="E2427" t="s">
        <v>34</v>
      </c>
      <c r="F2427" t="str">
        <f>"0002734"</f>
        <v>0002734</v>
      </c>
      <c r="G2427">
        <v>1</v>
      </c>
      <c r="H2427" t="str">
        <f>"00000000"</f>
        <v>00000000</v>
      </c>
      <c r="I2427" t="s">
        <v>35</v>
      </c>
      <c r="J2427"/>
      <c r="K2427">
        <v>11.78</v>
      </c>
      <c r="L2427">
        <v>0.0</v>
      </c>
      <c r="M2427"/>
      <c r="N2427"/>
      <c r="O2427">
        <v>2.12</v>
      </c>
      <c r="P2427">
        <v>0.0</v>
      </c>
      <c r="Q2427">
        <v>13.9</v>
      </c>
      <c r="R2427"/>
      <c r="S2427"/>
      <c r="T2427"/>
      <c r="U2427"/>
      <c r="V2427"/>
      <c r="W2427">
        <v>18</v>
      </c>
    </row>
    <row r="2428" spans="1:23">
      <c r="A2428"/>
      <c r="B2428" t="s">
        <v>71</v>
      </c>
      <c r="C2428" t="s">
        <v>71</v>
      </c>
      <c r="D2428" t="s">
        <v>33</v>
      </c>
      <c r="E2428" t="s">
        <v>34</v>
      </c>
      <c r="F2428" t="str">
        <f>"0002735"</f>
        <v>0002735</v>
      </c>
      <c r="G2428">
        <v>1</v>
      </c>
      <c r="H2428" t="str">
        <f>"00000000"</f>
        <v>00000000</v>
      </c>
      <c r="I2428" t="s">
        <v>35</v>
      </c>
      <c r="J2428"/>
      <c r="K2428">
        <v>2.24</v>
      </c>
      <c r="L2428">
        <v>0.0</v>
      </c>
      <c r="M2428"/>
      <c r="N2428"/>
      <c r="O2428">
        <v>0.4</v>
      </c>
      <c r="P2428">
        <v>0.0</v>
      </c>
      <c r="Q2428">
        <v>2.64</v>
      </c>
      <c r="R2428"/>
      <c r="S2428"/>
      <c r="T2428"/>
      <c r="U2428"/>
      <c r="V2428"/>
      <c r="W2428">
        <v>18</v>
      </c>
    </row>
    <row r="2429" spans="1:23">
      <c r="A2429"/>
      <c r="B2429" t="s">
        <v>71</v>
      </c>
      <c r="C2429" t="s">
        <v>71</v>
      </c>
      <c r="D2429" t="s">
        <v>33</v>
      </c>
      <c r="E2429" t="s">
        <v>34</v>
      </c>
      <c r="F2429" t="str">
        <f>"0002736"</f>
        <v>0002736</v>
      </c>
      <c r="G2429">
        <v>1</v>
      </c>
      <c r="H2429" t="str">
        <f>"00000000"</f>
        <v>00000000</v>
      </c>
      <c r="I2429" t="s">
        <v>35</v>
      </c>
      <c r="J2429"/>
      <c r="K2429">
        <v>14.51</v>
      </c>
      <c r="L2429">
        <v>0.0</v>
      </c>
      <c r="M2429"/>
      <c r="N2429"/>
      <c r="O2429">
        <v>2.61</v>
      </c>
      <c r="P2429">
        <v>0.0</v>
      </c>
      <c r="Q2429">
        <v>17.12</v>
      </c>
      <c r="R2429"/>
      <c r="S2429"/>
      <c r="T2429"/>
      <c r="U2429"/>
      <c r="V2429"/>
      <c r="W2429">
        <v>18</v>
      </c>
    </row>
    <row r="2430" spans="1:23">
      <c r="A2430"/>
      <c r="B2430" t="s">
        <v>71</v>
      </c>
      <c r="C2430" t="s">
        <v>71</v>
      </c>
      <c r="D2430" t="s">
        <v>33</v>
      </c>
      <c r="E2430" t="s">
        <v>34</v>
      </c>
      <c r="F2430" t="str">
        <f>"0002737"</f>
        <v>0002737</v>
      </c>
      <c r="G2430">
        <v>1</v>
      </c>
      <c r="H2430" t="str">
        <f>"00000000"</f>
        <v>00000000</v>
      </c>
      <c r="I2430" t="s">
        <v>35</v>
      </c>
      <c r="J2430"/>
      <c r="K2430">
        <v>20.72</v>
      </c>
      <c r="L2430">
        <v>0.0</v>
      </c>
      <c r="M2430"/>
      <c r="N2430"/>
      <c r="O2430">
        <v>3.73</v>
      </c>
      <c r="P2430">
        <v>0.0</v>
      </c>
      <c r="Q2430">
        <v>24.45</v>
      </c>
      <c r="R2430"/>
      <c r="S2430"/>
      <c r="T2430"/>
      <c r="U2430"/>
      <c r="V2430"/>
      <c r="W2430">
        <v>18</v>
      </c>
    </row>
    <row r="2431" spans="1:23">
      <c r="A2431"/>
      <c r="B2431" t="s">
        <v>71</v>
      </c>
      <c r="C2431" t="s">
        <v>71</v>
      </c>
      <c r="D2431" t="s">
        <v>33</v>
      </c>
      <c r="E2431" t="s">
        <v>34</v>
      </c>
      <c r="F2431" t="str">
        <f>"0002738"</f>
        <v>0002738</v>
      </c>
      <c r="G2431">
        <v>1</v>
      </c>
      <c r="H2431" t="str">
        <f>"00000000"</f>
        <v>00000000</v>
      </c>
      <c r="I2431" t="s">
        <v>35</v>
      </c>
      <c r="J2431"/>
      <c r="K2431">
        <v>7.12</v>
      </c>
      <c r="L2431">
        <v>0.0</v>
      </c>
      <c r="M2431"/>
      <c r="N2431"/>
      <c r="O2431">
        <v>1.28</v>
      </c>
      <c r="P2431">
        <v>0.0</v>
      </c>
      <c r="Q2431">
        <v>8.4</v>
      </c>
      <c r="R2431"/>
      <c r="S2431"/>
      <c r="T2431"/>
      <c r="U2431"/>
      <c r="V2431"/>
      <c r="W2431">
        <v>18</v>
      </c>
    </row>
    <row r="2432" spans="1:23">
      <c r="A2432"/>
      <c r="B2432" t="s">
        <v>71</v>
      </c>
      <c r="C2432" t="s">
        <v>71</v>
      </c>
      <c r="D2432" t="s">
        <v>33</v>
      </c>
      <c r="E2432" t="s">
        <v>34</v>
      </c>
      <c r="F2432" t="str">
        <f>"0002739"</f>
        <v>0002739</v>
      </c>
      <c r="G2432">
        <v>1</v>
      </c>
      <c r="H2432" t="str">
        <f>"00000000"</f>
        <v>00000000</v>
      </c>
      <c r="I2432" t="s">
        <v>35</v>
      </c>
      <c r="J2432"/>
      <c r="K2432">
        <v>5.42</v>
      </c>
      <c r="L2432">
        <v>0.0</v>
      </c>
      <c r="M2432"/>
      <c r="N2432"/>
      <c r="O2432">
        <v>0.98</v>
      </c>
      <c r="P2432">
        <v>0.0</v>
      </c>
      <c r="Q2432">
        <v>6.4</v>
      </c>
      <c r="R2432"/>
      <c r="S2432"/>
      <c r="T2432"/>
      <c r="U2432"/>
      <c r="V2432"/>
      <c r="W2432">
        <v>18</v>
      </c>
    </row>
    <row r="2433" spans="1:23">
      <c r="A2433"/>
      <c r="B2433" t="s">
        <v>71</v>
      </c>
      <c r="C2433" t="s">
        <v>71</v>
      </c>
      <c r="D2433" t="s">
        <v>33</v>
      </c>
      <c r="E2433" t="s">
        <v>34</v>
      </c>
      <c r="F2433" t="str">
        <f>"0002740"</f>
        <v>0002740</v>
      </c>
      <c r="G2433">
        <v>1</v>
      </c>
      <c r="H2433" t="str">
        <f>"00000000"</f>
        <v>00000000</v>
      </c>
      <c r="I2433" t="s">
        <v>35</v>
      </c>
      <c r="J2433"/>
      <c r="K2433">
        <v>44.08</v>
      </c>
      <c r="L2433">
        <v>0.0</v>
      </c>
      <c r="M2433"/>
      <c r="N2433"/>
      <c r="O2433">
        <v>7.94</v>
      </c>
      <c r="P2433">
        <v>0.2</v>
      </c>
      <c r="Q2433">
        <v>52.22</v>
      </c>
      <c r="R2433"/>
      <c r="S2433"/>
      <c r="T2433"/>
      <c r="U2433"/>
      <c r="V2433"/>
      <c r="W2433">
        <v>18</v>
      </c>
    </row>
    <row r="2434" spans="1:23">
      <c r="A2434"/>
      <c r="B2434" t="s">
        <v>71</v>
      </c>
      <c r="C2434" t="s">
        <v>71</v>
      </c>
      <c r="D2434" t="s">
        <v>33</v>
      </c>
      <c r="E2434" t="s">
        <v>34</v>
      </c>
      <c r="F2434" t="str">
        <f>"0002741"</f>
        <v>0002741</v>
      </c>
      <c r="G2434">
        <v>1</v>
      </c>
      <c r="H2434" t="str">
        <f>"00000000"</f>
        <v>00000000</v>
      </c>
      <c r="I2434" t="s">
        <v>35</v>
      </c>
      <c r="J2434"/>
      <c r="K2434">
        <v>42.29</v>
      </c>
      <c r="L2434">
        <v>0.0</v>
      </c>
      <c r="M2434"/>
      <c r="N2434"/>
      <c r="O2434">
        <v>7.61</v>
      </c>
      <c r="P2434">
        <v>0.2</v>
      </c>
      <c r="Q2434">
        <v>50.11</v>
      </c>
      <c r="R2434"/>
      <c r="S2434"/>
      <c r="T2434"/>
      <c r="U2434"/>
      <c r="V2434"/>
      <c r="W2434">
        <v>18</v>
      </c>
    </row>
    <row r="2435" spans="1:23">
      <c r="A2435"/>
      <c r="B2435" t="s">
        <v>71</v>
      </c>
      <c r="C2435" t="s">
        <v>71</v>
      </c>
      <c r="D2435" t="s">
        <v>33</v>
      </c>
      <c r="E2435" t="s">
        <v>34</v>
      </c>
      <c r="F2435" t="str">
        <f>"0002742"</f>
        <v>0002742</v>
      </c>
      <c r="G2435">
        <v>1</v>
      </c>
      <c r="H2435" t="str">
        <f>"00000000"</f>
        <v>00000000</v>
      </c>
      <c r="I2435" t="s">
        <v>35</v>
      </c>
      <c r="J2435"/>
      <c r="K2435">
        <v>8.4</v>
      </c>
      <c r="L2435">
        <v>0.0</v>
      </c>
      <c r="M2435"/>
      <c r="N2435"/>
      <c r="O2435">
        <v>1.51</v>
      </c>
      <c r="P2435">
        <v>0.2</v>
      </c>
      <c r="Q2435">
        <v>10.11</v>
      </c>
      <c r="R2435"/>
      <c r="S2435"/>
      <c r="T2435"/>
      <c r="U2435"/>
      <c r="V2435"/>
      <c r="W2435">
        <v>18</v>
      </c>
    </row>
    <row r="2436" spans="1:23">
      <c r="A2436"/>
      <c r="B2436" t="s">
        <v>71</v>
      </c>
      <c r="C2436" t="s">
        <v>71</v>
      </c>
      <c r="D2436" t="s">
        <v>33</v>
      </c>
      <c r="E2436" t="s">
        <v>34</v>
      </c>
      <c r="F2436" t="str">
        <f>"0002743"</f>
        <v>0002743</v>
      </c>
      <c r="G2436">
        <v>1</v>
      </c>
      <c r="H2436" t="str">
        <f>"00000000"</f>
        <v>00000000</v>
      </c>
      <c r="I2436" t="s">
        <v>35</v>
      </c>
      <c r="J2436"/>
      <c r="K2436">
        <v>40.95</v>
      </c>
      <c r="L2436">
        <v>0.0</v>
      </c>
      <c r="M2436"/>
      <c r="N2436"/>
      <c r="O2436">
        <v>7.37</v>
      </c>
      <c r="P2436">
        <v>0.2</v>
      </c>
      <c r="Q2436">
        <v>48.52</v>
      </c>
      <c r="R2436"/>
      <c r="S2436"/>
      <c r="T2436"/>
      <c r="U2436"/>
      <c r="V2436"/>
      <c r="W2436">
        <v>18</v>
      </c>
    </row>
    <row r="2437" spans="1:23">
      <c r="A2437"/>
      <c r="B2437" t="s">
        <v>71</v>
      </c>
      <c r="C2437" t="s">
        <v>71</v>
      </c>
      <c r="D2437" t="s">
        <v>33</v>
      </c>
      <c r="E2437" t="s">
        <v>34</v>
      </c>
      <c r="F2437" t="str">
        <f>"0002744"</f>
        <v>0002744</v>
      </c>
      <c r="G2437">
        <v>1</v>
      </c>
      <c r="H2437" t="str">
        <f>"00000000"</f>
        <v>00000000</v>
      </c>
      <c r="I2437" t="s">
        <v>35</v>
      </c>
      <c r="J2437"/>
      <c r="K2437">
        <v>48.44</v>
      </c>
      <c r="L2437">
        <v>0.0</v>
      </c>
      <c r="M2437"/>
      <c r="N2437"/>
      <c r="O2437">
        <v>8.72</v>
      </c>
      <c r="P2437">
        <v>0.0</v>
      </c>
      <c r="Q2437">
        <v>57.16</v>
      </c>
      <c r="R2437"/>
      <c r="S2437"/>
      <c r="T2437"/>
      <c r="U2437"/>
      <c r="V2437"/>
      <c r="W2437">
        <v>18</v>
      </c>
    </row>
    <row r="2438" spans="1:23">
      <c r="A2438"/>
      <c r="B2438" t="s">
        <v>71</v>
      </c>
      <c r="C2438" t="s">
        <v>71</v>
      </c>
      <c r="D2438" t="s">
        <v>33</v>
      </c>
      <c r="E2438" t="s">
        <v>34</v>
      </c>
      <c r="F2438" t="str">
        <f>"0002745"</f>
        <v>0002745</v>
      </c>
      <c r="G2438">
        <v>1</v>
      </c>
      <c r="H2438" t="str">
        <f>"00000000"</f>
        <v>00000000</v>
      </c>
      <c r="I2438" t="s">
        <v>35</v>
      </c>
      <c r="J2438"/>
      <c r="K2438">
        <v>3.75</v>
      </c>
      <c r="L2438">
        <v>0.0</v>
      </c>
      <c r="M2438"/>
      <c r="N2438"/>
      <c r="O2438">
        <v>0.67</v>
      </c>
      <c r="P2438">
        <v>0.0</v>
      </c>
      <c r="Q2438">
        <v>4.42</v>
      </c>
      <c r="R2438"/>
      <c r="S2438"/>
      <c r="T2438"/>
      <c r="U2438"/>
      <c r="V2438"/>
      <c r="W2438">
        <v>18</v>
      </c>
    </row>
    <row r="2439" spans="1:23">
      <c r="A2439"/>
      <c r="B2439" t="s">
        <v>71</v>
      </c>
      <c r="C2439" t="s">
        <v>71</v>
      </c>
      <c r="D2439" t="s">
        <v>33</v>
      </c>
      <c r="E2439" t="s">
        <v>34</v>
      </c>
      <c r="F2439" t="str">
        <f>"0002746"</f>
        <v>0002746</v>
      </c>
      <c r="G2439">
        <v>1</v>
      </c>
      <c r="H2439" t="str">
        <f>"00000000"</f>
        <v>00000000</v>
      </c>
      <c r="I2439" t="s">
        <v>35</v>
      </c>
      <c r="J2439"/>
      <c r="K2439">
        <v>12.2</v>
      </c>
      <c r="L2439">
        <v>0.0</v>
      </c>
      <c r="M2439"/>
      <c r="N2439"/>
      <c r="O2439">
        <v>2.2</v>
      </c>
      <c r="P2439">
        <v>0.0</v>
      </c>
      <c r="Q2439">
        <v>14.4</v>
      </c>
      <c r="R2439"/>
      <c r="S2439"/>
      <c r="T2439"/>
      <c r="U2439"/>
      <c r="V2439"/>
      <c r="W2439">
        <v>18</v>
      </c>
    </row>
    <row r="2440" spans="1:23">
      <c r="A2440"/>
      <c r="B2440" t="s">
        <v>71</v>
      </c>
      <c r="C2440" t="s">
        <v>71</v>
      </c>
      <c r="D2440" t="s">
        <v>33</v>
      </c>
      <c r="E2440" t="s">
        <v>34</v>
      </c>
      <c r="F2440" t="str">
        <f>"0002747"</f>
        <v>0002747</v>
      </c>
      <c r="G2440">
        <v>1</v>
      </c>
      <c r="H2440" t="str">
        <f>"00000000"</f>
        <v>00000000</v>
      </c>
      <c r="I2440" t="s">
        <v>35</v>
      </c>
      <c r="J2440"/>
      <c r="K2440">
        <v>1.86</v>
      </c>
      <c r="L2440">
        <v>0.0</v>
      </c>
      <c r="M2440"/>
      <c r="N2440"/>
      <c r="O2440">
        <v>0.34</v>
      </c>
      <c r="P2440">
        <v>0.0</v>
      </c>
      <c r="Q2440">
        <v>2.2</v>
      </c>
      <c r="R2440"/>
      <c r="S2440"/>
      <c r="T2440"/>
      <c r="U2440"/>
      <c r="V2440"/>
      <c r="W2440">
        <v>18</v>
      </c>
    </row>
    <row r="2441" spans="1:23">
      <c r="A2441"/>
      <c r="B2441" t="s">
        <v>71</v>
      </c>
      <c r="C2441" t="s">
        <v>71</v>
      </c>
      <c r="D2441" t="s">
        <v>33</v>
      </c>
      <c r="E2441" t="s">
        <v>34</v>
      </c>
      <c r="F2441" t="str">
        <f>"0002748"</f>
        <v>0002748</v>
      </c>
      <c r="G2441">
        <v>1</v>
      </c>
      <c r="H2441" t="str">
        <f>"00000000"</f>
        <v>00000000</v>
      </c>
      <c r="I2441" t="s">
        <v>35</v>
      </c>
      <c r="J2441"/>
      <c r="K2441">
        <v>58.22</v>
      </c>
      <c r="L2441">
        <v>0.0</v>
      </c>
      <c r="M2441"/>
      <c r="N2441"/>
      <c r="O2441">
        <v>10.48</v>
      </c>
      <c r="P2441">
        <v>0.2</v>
      </c>
      <c r="Q2441">
        <v>68.9</v>
      </c>
      <c r="R2441"/>
      <c r="S2441"/>
      <c r="T2441"/>
      <c r="U2441"/>
      <c r="V2441"/>
      <c r="W2441">
        <v>18</v>
      </c>
    </row>
    <row r="2442" spans="1:23">
      <c r="A2442"/>
      <c r="B2442" t="s">
        <v>71</v>
      </c>
      <c r="C2442" t="s">
        <v>71</v>
      </c>
      <c r="D2442" t="s">
        <v>33</v>
      </c>
      <c r="E2442" t="s">
        <v>34</v>
      </c>
      <c r="F2442" t="str">
        <f>"0002749"</f>
        <v>0002749</v>
      </c>
      <c r="G2442">
        <v>1</v>
      </c>
      <c r="H2442" t="str">
        <f>"00000000"</f>
        <v>00000000</v>
      </c>
      <c r="I2442" t="s">
        <v>35</v>
      </c>
      <c r="J2442"/>
      <c r="K2442">
        <v>55.36</v>
      </c>
      <c r="L2442">
        <v>0.0</v>
      </c>
      <c r="M2442"/>
      <c r="N2442"/>
      <c r="O2442">
        <v>9.96</v>
      </c>
      <c r="P2442">
        <v>0.2</v>
      </c>
      <c r="Q2442">
        <v>65.52</v>
      </c>
      <c r="R2442"/>
      <c r="S2442"/>
      <c r="T2442"/>
      <c r="U2442"/>
      <c r="V2442"/>
      <c r="W2442">
        <v>18</v>
      </c>
    </row>
    <row r="2443" spans="1:23">
      <c r="A2443"/>
      <c r="B2443" t="s">
        <v>71</v>
      </c>
      <c r="C2443" t="s">
        <v>71</v>
      </c>
      <c r="D2443" t="s">
        <v>33</v>
      </c>
      <c r="E2443" t="s">
        <v>34</v>
      </c>
      <c r="F2443" t="str">
        <f>"0002750"</f>
        <v>0002750</v>
      </c>
      <c r="G2443">
        <v>1</v>
      </c>
      <c r="H2443" t="str">
        <f>"00000000"</f>
        <v>00000000</v>
      </c>
      <c r="I2443" t="s">
        <v>35</v>
      </c>
      <c r="J2443"/>
      <c r="K2443">
        <v>12.29</v>
      </c>
      <c r="L2443">
        <v>0.0</v>
      </c>
      <c r="M2443"/>
      <c r="N2443"/>
      <c r="O2443">
        <v>2.21</v>
      </c>
      <c r="P2443">
        <v>0.0</v>
      </c>
      <c r="Q2443">
        <v>14.5</v>
      </c>
      <c r="R2443"/>
      <c r="S2443"/>
      <c r="T2443"/>
      <c r="U2443"/>
      <c r="V2443"/>
      <c r="W2443">
        <v>18</v>
      </c>
    </row>
    <row r="2444" spans="1:23">
      <c r="A2444"/>
      <c r="B2444" t="s">
        <v>71</v>
      </c>
      <c r="C2444" t="s">
        <v>71</v>
      </c>
      <c r="D2444" t="s">
        <v>33</v>
      </c>
      <c r="E2444" t="s">
        <v>34</v>
      </c>
      <c r="F2444" t="str">
        <f>"0002751"</f>
        <v>0002751</v>
      </c>
      <c r="G2444">
        <v>1</v>
      </c>
      <c r="H2444" t="str">
        <f>"00000000"</f>
        <v>00000000</v>
      </c>
      <c r="I2444" t="s">
        <v>35</v>
      </c>
      <c r="J2444"/>
      <c r="K2444">
        <v>2.54</v>
      </c>
      <c r="L2444">
        <v>0.0</v>
      </c>
      <c r="M2444"/>
      <c r="N2444"/>
      <c r="O2444">
        <v>0.46</v>
      </c>
      <c r="P2444">
        <v>0.0</v>
      </c>
      <c r="Q2444">
        <v>3.0</v>
      </c>
      <c r="R2444"/>
      <c r="S2444"/>
      <c r="T2444"/>
      <c r="U2444"/>
      <c r="V2444"/>
      <c r="W2444">
        <v>18</v>
      </c>
    </row>
    <row r="2445" spans="1:23">
      <c r="A2445"/>
      <c r="B2445" t="s">
        <v>71</v>
      </c>
      <c r="C2445" t="s">
        <v>71</v>
      </c>
      <c r="D2445" t="s">
        <v>33</v>
      </c>
      <c r="E2445" t="s">
        <v>34</v>
      </c>
      <c r="F2445" t="str">
        <f>"0002752"</f>
        <v>0002752</v>
      </c>
      <c r="G2445">
        <v>1</v>
      </c>
      <c r="H2445" t="str">
        <f>"00000000"</f>
        <v>00000000</v>
      </c>
      <c r="I2445" t="s">
        <v>35</v>
      </c>
      <c r="J2445"/>
      <c r="K2445">
        <v>5.17</v>
      </c>
      <c r="L2445">
        <v>0.0</v>
      </c>
      <c r="M2445"/>
      <c r="N2445"/>
      <c r="O2445">
        <v>0.93</v>
      </c>
      <c r="P2445">
        <v>0.0</v>
      </c>
      <c r="Q2445">
        <v>6.1</v>
      </c>
      <c r="R2445"/>
      <c r="S2445"/>
      <c r="T2445"/>
      <c r="U2445"/>
      <c r="V2445"/>
      <c r="W2445">
        <v>18</v>
      </c>
    </row>
    <row r="2446" spans="1:23">
      <c r="A2446"/>
      <c r="B2446" t="s">
        <v>71</v>
      </c>
      <c r="C2446" t="s">
        <v>71</v>
      </c>
      <c r="D2446" t="s">
        <v>33</v>
      </c>
      <c r="E2446" t="s">
        <v>34</v>
      </c>
      <c r="F2446" t="str">
        <f>"0002753"</f>
        <v>0002753</v>
      </c>
      <c r="G2446">
        <v>1</v>
      </c>
      <c r="H2446" t="str">
        <f>"00000000"</f>
        <v>00000000</v>
      </c>
      <c r="I2446" t="s">
        <v>35</v>
      </c>
      <c r="J2446"/>
      <c r="K2446">
        <v>23.32</v>
      </c>
      <c r="L2446">
        <v>0.0</v>
      </c>
      <c r="M2446"/>
      <c r="N2446"/>
      <c r="O2446">
        <v>4.2</v>
      </c>
      <c r="P2446">
        <v>0.2</v>
      </c>
      <c r="Q2446">
        <v>27.72</v>
      </c>
      <c r="R2446"/>
      <c r="S2446"/>
      <c r="T2446"/>
      <c r="U2446"/>
      <c r="V2446"/>
      <c r="W2446">
        <v>18</v>
      </c>
    </row>
    <row r="2447" spans="1:23">
      <c r="A2447"/>
      <c r="B2447" t="s">
        <v>71</v>
      </c>
      <c r="C2447" t="s">
        <v>71</v>
      </c>
      <c r="D2447" t="s">
        <v>33</v>
      </c>
      <c r="E2447" t="s">
        <v>34</v>
      </c>
      <c r="F2447" t="str">
        <f>"0002754"</f>
        <v>0002754</v>
      </c>
      <c r="G2447">
        <v>1</v>
      </c>
      <c r="H2447" t="str">
        <f>"00000000"</f>
        <v>00000000</v>
      </c>
      <c r="I2447" t="s">
        <v>35</v>
      </c>
      <c r="J2447"/>
      <c r="K2447">
        <v>12.46</v>
      </c>
      <c r="L2447">
        <v>0.0</v>
      </c>
      <c r="M2447"/>
      <c r="N2447"/>
      <c r="O2447">
        <v>2.24</v>
      </c>
      <c r="P2447">
        <v>0.0</v>
      </c>
      <c r="Q2447">
        <v>14.7</v>
      </c>
      <c r="R2447"/>
      <c r="S2447"/>
      <c r="T2447"/>
      <c r="U2447"/>
      <c r="V2447"/>
      <c r="W2447">
        <v>18</v>
      </c>
    </row>
    <row r="2448" spans="1:23">
      <c r="A2448"/>
      <c r="B2448" t="s">
        <v>71</v>
      </c>
      <c r="C2448" t="s">
        <v>71</v>
      </c>
      <c r="D2448" t="s">
        <v>33</v>
      </c>
      <c r="E2448" t="s">
        <v>34</v>
      </c>
      <c r="F2448" t="str">
        <f>"0002755"</f>
        <v>0002755</v>
      </c>
      <c r="G2448">
        <v>1</v>
      </c>
      <c r="H2448" t="str">
        <f>"00000000"</f>
        <v>00000000</v>
      </c>
      <c r="I2448" t="s">
        <v>35</v>
      </c>
      <c r="J2448"/>
      <c r="K2448">
        <v>4.43</v>
      </c>
      <c r="L2448">
        <v>0.0</v>
      </c>
      <c r="M2448"/>
      <c r="N2448"/>
      <c r="O2448">
        <v>0.8</v>
      </c>
      <c r="P2448">
        <v>0.0</v>
      </c>
      <c r="Q2448">
        <v>5.23</v>
      </c>
      <c r="R2448"/>
      <c r="S2448"/>
      <c r="T2448"/>
      <c r="U2448"/>
      <c r="V2448"/>
      <c r="W2448">
        <v>18</v>
      </c>
    </row>
    <row r="2449" spans="1:23">
      <c r="A2449"/>
      <c r="B2449" t="s">
        <v>71</v>
      </c>
      <c r="C2449" t="s">
        <v>71</v>
      </c>
      <c r="D2449" t="s">
        <v>33</v>
      </c>
      <c r="E2449" t="s">
        <v>34</v>
      </c>
      <c r="F2449" t="str">
        <f>"0002756"</f>
        <v>0002756</v>
      </c>
      <c r="G2449">
        <v>1</v>
      </c>
      <c r="H2449" t="str">
        <f>"00000000"</f>
        <v>00000000</v>
      </c>
      <c r="I2449" t="s">
        <v>35</v>
      </c>
      <c r="J2449"/>
      <c r="K2449">
        <v>7.79</v>
      </c>
      <c r="L2449">
        <v>0.0</v>
      </c>
      <c r="M2449"/>
      <c r="N2449"/>
      <c r="O2449">
        <v>1.4</v>
      </c>
      <c r="P2449">
        <v>0.0</v>
      </c>
      <c r="Q2449">
        <v>9.19</v>
      </c>
      <c r="R2449"/>
      <c r="S2449"/>
      <c r="T2449"/>
      <c r="U2449"/>
      <c r="V2449"/>
      <c r="W2449">
        <v>18</v>
      </c>
    </row>
    <row r="2450" spans="1:23">
      <c r="A2450"/>
      <c r="B2450" t="s">
        <v>71</v>
      </c>
      <c r="C2450" t="s">
        <v>71</v>
      </c>
      <c r="D2450" t="s">
        <v>33</v>
      </c>
      <c r="E2450" t="s">
        <v>34</v>
      </c>
      <c r="F2450" t="str">
        <f>"0002757"</f>
        <v>0002757</v>
      </c>
      <c r="G2450">
        <v>1</v>
      </c>
      <c r="H2450" t="str">
        <f>"00000000"</f>
        <v>00000000</v>
      </c>
      <c r="I2450" t="s">
        <v>35</v>
      </c>
      <c r="J2450"/>
      <c r="K2450">
        <v>2.15</v>
      </c>
      <c r="L2450">
        <v>0.0</v>
      </c>
      <c r="M2450"/>
      <c r="N2450"/>
      <c r="O2450">
        <v>0.39</v>
      </c>
      <c r="P2450">
        <v>0.0</v>
      </c>
      <c r="Q2450">
        <v>2.54</v>
      </c>
      <c r="R2450"/>
      <c r="S2450"/>
      <c r="T2450"/>
      <c r="U2450"/>
      <c r="V2450"/>
      <c r="W2450">
        <v>18</v>
      </c>
    </row>
    <row r="2451" spans="1:23">
      <c r="A2451"/>
      <c r="B2451" t="s">
        <v>71</v>
      </c>
      <c r="C2451" t="s">
        <v>71</v>
      </c>
      <c r="D2451" t="s">
        <v>33</v>
      </c>
      <c r="E2451" t="s">
        <v>34</v>
      </c>
      <c r="F2451" t="str">
        <f>"0002758"</f>
        <v>0002758</v>
      </c>
      <c r="G2451">
        <v>1</v>
      </c>
      <c r="H2451" t="str">
        <f>"00000000"</f>
        <v>00000000</v>
      </c>
      <c r="I2451" t="s">
        <v>35</v>
      </c>
      <c r="J2451"/>
      <c r="K2451">
        <v>11.89</v>
      </c>
      <c r="L2451">
        <v>0.0</v>
      </c>
      <c r="M2451"/>
      <c r="N2451"/>
      <c r="O2451">
        <v>2.14</v>
      </c>
      <c r="P2451">
        <v>0.0</v>
      </c>
      <c r="Q2451">
        <v>14.03</v>
      </c>
      <c r="R2451"/>
      <c r="S2451"/>
      <c r="T2451"/>
      <c r="U2451"/>
      <c r="V2451"/>
      <c r="W2451">
        <v>18</v>
      </c>
    </row>
    <row r="2452" spans="1:23">
      <c r="A2452"/>
      <c r="B2452" t="s">
        <v>72</v>
      </c>
      <c r="C2452" t="s">
        <v>72</v>
      </c>
      <c r="D2452" t="s">
        <v>33</v>
      </c>
      <c r="E2452" t="s">
        <v>34</v>
      </c>
      <c r="F2452" t="str">
        <f>"0002759"</f>
        <v>0002759</v>
      </c>
      <c r="G2452">
        <v>1</v>
      </c>
      <c r="H2452" t="str">
        <f>"00000000"</f>
        <v>00000000</v>
      </c>
      <c r="I2452" t="s">
        <v>35</v>
      </c>
      <c r="J2452"/>
      <c r="K2452">
        <v>1.69</v>
      </c>
      <c r="L2452">
        <v>0.0</v>
      </c>
      <c r="M2452"/>
      <c r="N2452"/>
      <c r="O2452">
        <v>0.3</v>
      </c>
      <c r="P2452">
        <v>0.0</v>
      </c>
      <c r="Q2452">
        <v>1.99</v>
      </c>
      <c r="R2452"/>
      <c r="S2452"/>
      <c r="T2452"/>
      <c r="U2452"/>
      <c r="V2452"/>
      <c r="W2452">
        <v>18</v>
      </c>
    </row>
    <row r="2453" spans="1:23">
      <c r="A2453"/>
      <c r="B2453" t="s">
        <v>72</v>
      </c>
      <c r="C2453" t="s">
        <v>72</v>
      </c>
      <c r="D2453" t="s">
        <v>33</v>
      </c>
      <c r="E2453" t="s">
        <v>34</v>
      </c>
      <c r="F2453" t="str">
        <f>"0002760"</f>
        <v>0002760</v>
      </c>
      <c r="G2453">
        <v>1</v>
      </c>
      <c r="H2453" t="str">
        <f>"00000000"</f>
        <v>00000000</v>
      </c>
      <c r="I2453" t="s">
        <v>35</v>
      </c>
      <c r="J2453"/>
      <c r="K2453">
        <v>5.68</v>
      </c>
      <c r="L2453">
        <v>0.0</v>
      </c>
      <c r="M2453"/>
      <c r="N2453"/>
      <c r="O2453">
        <v>1.02</v>
      </c>
      <c r="P2453">
        <v>0.0</v>
      </c>
      <c r="Q2453">
        <v>6.7</v>
      </c>
      <c r="R2453"/>
      <c r="S2453"/>
      <c r="T2453"/>
      <c r="U2453"/>
      <c r="V2453"/>
      <c r="W2453">
        <v>18</v>
      </c>
    </row>
    <row r="2454" spans="1:23">
      <c r="A2454"/>
      <c r="B2454" t="s">
        <v>72</v>
      </c>
      <c r="C2454" t="s">
        <v>72</v>
      </c>
      <c r="D2454" t="s">
        <v>33</v>
      </c>
      <c r="E2454" t="s">
        <v>34</v>
      </c>
      <c r="F2454" t="str">
        <f>"0002761"</f>
        <v>0002761</v>
      </c>
      <c r="G2454">
        <v>1</v>
      </c>
      <c r="H2454" t="str">
        <f>"00000000"</f>
        <v>00000000</v>
      </c>
      <c r="I2454" t="s">
        <v>35</v>
      </c>
      <c r="J2454"/>
      <c r="K2454">
        <v>2.12</v>
      </c>
      <c r="L2454">
        <v>0.0</v>
      </c>
      <c r="M2454"/>
      <c r="N2454"/>
      <c r="O2454">
        <v>0.38</v>
      </c>
      <c r="P2454">
        <v>0.0</v>
      </c>
      <c r="Q2454">
        <v>2.5</v>
      </c>
      <c r="R2454"/>
      <c r="S2454"/>
      <c r="T2454"/>
      <c r="U2454"/>
      <c r="V2454"/>
      <c r="W2454">
        <v>18</v>
      </c>
    </row>
    <row r="2455" spans="1:23">
      <c r="A2455"/>
      <c r="B2455" t="s">
        <v>72</v>
      </c>
      <c r="C2455" t="s">
        <v>72</v>
      </c>
      <c r="D2455" t="s">
        <v>33</v>
      </c>
      <c r="E2455" t="s">
        <v>34</v>
      </c>
      <c r="F2455" t="str">
        <f>"0002762"</f>
        <v>0002762</v>
      </c>
      <c r="G2455">
        <v>1</v>
      </c>
      <c r="H2455" t="str">
        <f>"00000000"</f>
        <v>00000000</v>
      </c>
      <c r="I2455" t="s">
        <v>35</v>
      </c>
      <c r="J2455"/>
      <c r="K2455">
        <v>12.73</v>
      </c>
      <c r="L2455">
        <v>0.0</v>
      </c>
      <c r="M2455"/>
      <c r="N2455"/>
      <c r="O2455">
        <v>2.29</v>
      </c>
      <c r="P2455">
        <v>0.0</v>
      </c>
      <c r="Q2455">
        <v>15.02</v>
      </c>
      <c r="R2455"/>
      <c r="S2455"/>
      <c r="T2455"/>
      <c r="U2455"/>
      <c r="V2455"/>
      <c r="W2455">
        <v>18</v>
      </c>
    </row>
    <row r="2456" spans="1:23">
      <c r="A2456"/>
      <c r="B2456" t="s">
        <v>72</v>
      </c>
      <c r="C2456" t="s">
        <v>72</v>
      </c>
      <c r="D2456" t="s">
        <v>33</v>
      </c>
      <c r="E2456" t="s">
        <v>34</v>
      </c>
      <c r="F2456" t="str">
        <f>"0002763"</f>
        <v>0002763</v>
      </c>
      <c r="G2456">
        <v>1</v>
      </c>
      <c r="H2456" t="str">
        <f>"00000000"</f>
        <v>00000000</v>
      </c>
      <c r="I2456" t="s">
        <v>35</v>
      </c>
      <c r="J2456"/>
      <c r="K2456">
        <v>8.59</v>
      </c>
      <c r="L2456">
        <v>0.0</v>
      </c>
      <c r="M2456"/>
      <c r="N2456"/>
      <c r="O2456">
        <v>1.55</v>
      </c>
      <c r="P2456">
        <v>0.2</v>
      </c>
      <c r="Q2456">
        <v>10.34</v>
      </c>
      <c r="R2456"/>
      <c r="S2456"/>
      <c r="T2456"/>
      <c r="U2456"/>
      <c r="V2456"/>
      <c r="W2456">
        <v>18</v>
      </c>
    </row>
    <row r="2457" spans="1:23">
      <c r="A2457"/>
      <c r="B2457" t="s">
        <v>72</v>
      </c>
      <c r="C2457" t="s">
        <v>72</v>
      </c>
      <c r="D2457" t="s">
        <v>33</v>
      </c>
      <c r="E2457" t="s">
        <v>34</v>
      </c>
      <c r="F2457" t="str">
        <f>"0002764"</f>
        <v>0002764</v>
      </c>
      <c r="G2457">
        <v>1</v>
      </c>
      <c r="H2457" t="str">
        <f>"00000000"</f>
        <v>00000000</v>
      </c>
      <c r="I2457" t="s">
        <v>35</v>
      </c>
      <c r="J2457"/>
      <c r="K2457">
        <v>41.89</v>
      </c>
      <c r="L2457">
        <v>0.0</v>
      </c>
      <c r="M2457"/>
      <c r="N2457"/>
      <c r="O2457">
        <v>7.54</v>
      </c>
      <c r="P2457">
        <v>0.0</v>
      </c>
      <c r="Q2457">
        <v>49.43</v>
      </c>
      <c r="R2457"/>
      <c r="S2457"/>
      <c r="T2457"/>
      <c r="U2457"/>
      <c r="V2457"/>
      <c r="W2457">
        <v>18</v>
      </c>
    </row>
    <row r="2458" spans="1:23">
      <c r="A2458"/>
      <c r="B2458" t="s">
        <v>72</v>
      </c>
      <c r="C2458" t="s">
        <v>72</v>
      </c>
      <c r="D2458" t="s">
        <v>33</v>
      </c>
      <c r="E2458" t="s">
        <v>34</v>
      </c>
      <c r="F2458" t="str">
        <f>"0002765"</f>
        <v>0002765</v>
      </c>
      <c r="G2458">
        <v>1</v>
      </c>
      <c r="H2458" t="str">
        <f>"00000000"</f>
        <v>00000000</v>
      </c>
      <c r="I2458" t="s">
        <v>35</v>
      </c>
      <c r="J2458"/>
      <c r="K2458">
        <v>14.55</v>
      </c>
      <c r="L2458">
        <v>0.0</v>
      </c>
      <c r="M2458"/>
      <c r="N2458"/>
      <c r="O2458">
        <v>2.62</v>
      </c>
      <c r="P2458">
        <v>0.2</v>
      </c>
      <c r="Q2458">
        <v>17.37</v>
      </c>
      <c r="R2458"/>
      <c r="S2458"/>
      <c r="T2458"/>
      <c r="U2458"/>
      <c r="V2458"/>
      <c r="W2458">
        <v>18</v>
      </c>
    </row>
    <row r="2459" spans="1:23">
      <c r="A2459"/>
      <c r="B2459" t="s">
        <v>72</v>
      </c>
      <c r="C2459" t="s">
        <v>72</v>
      </c>
      <c r="D2459" t="s">
        <v>33</v>
      </c>
      <c r="E2459" t="s">
        <v>34</v>
      </c>
      <c r="F2459" t="str">
        <f>"0002766"</f>
        <v>0002766</v>
      </c>
      <c r="G2459">
        <v>1</v>
      </c>
      <c r="H2459" t="str">
        <f>"00000000"</f>
        <v>00000000</v>
      </c>
      <c r="I2459" t="s">
        <v>35</v>
      </c>
      <c r="J2459"/>
      <c r="K2459">
        <v>13.29</v>
      </c>
      <c r="L2459">
        <v>0.0</v>
      </c>
      <c r="M2459"/>
      <c r="N2459"/>
      <c r="O2459">
        <v>2.39</v>
      </c>
      <c r="P2459">
        <v>0.2</v>
      </c>
      <c r="Q2459">
        <v>15.88</v>
      </c>
      <c r="R2459"/>
      <c r="S2459"/>
      <c r="T2459"/>
      <c r="U2459"/>
      <c r="V2459"/>
      <c r="W2459">
        <v>18</v>
      </c>
    </row>
    <row r="2460" spans="1:23">
      <c r="A2460"/>
      <c r="B2460" t="s">
        <v>72</v>
      </c>
      <c r="C2460" t="s">
        <v>72</v>
      </c>
      <c r="D2460" t="s">
        <v>33</v>
      </c>
      <c r="E2460" t="s">
        <v>34</v>
      </c>
      <c r="F2460" t="str">
        <f>"0002767"</f>
        <v>0002767</v>
      </c>
      <c r="G2460">
        <v>1</v>
      </c>
      <c r="H2460" t="str">
        <f>"00000000"</f>
        <v>00000000</v>
      </c>
      <c r="I2460" t="s">
        <v>35</v>
      </c>
      <c r="J2460"/>
      <c r="K2460">
        <v>16.27</v>
      </c>
      <c r="L2460">
        <v>0.0</v>
      </c>
      <c r="M2460"/>
      <c r="N2460"/>
      <c r="O2460">
        <v>2.93</v>
      </c>
      <c r="P2460">
        <v>0.0</v>
      </c>
      <c r="Q2460">
        <v>19.2</v>
      </c>
      <c r="R2460"/>
      <c r="S2460"/>
      <c r="T2460"/>
      <c r="U2460"/>
      <c r="V2460"/>
      <c r="W2460">
        <v>18</v>
      </c>
    </row>
    <row r="2461" spans="1:23">
      <c r="A2461"/>
      <c r="B2461" t="s">
        <v>72</v>
      </c>
      <c r="C2461" t="s">
        <v>72</v>
      </c>
      <c r="D2461" t="s">
        <v>33</v>
      </c>
      <c r="E2461" t="s">
        <v>34</v>
      </c>
      <c r="F2461" t="str">
        <f>"0002768"</f>
        <v>0002768</v>
      </c>
      <c r="G2461">
        <v>1</v>
      </c>
      <c r="H2461" t="str">
        <f>"00000000"</f>
        <v>00000000</v>
      </c>
      <c r="I2461" t="s">
        <v>35</v>
      </c>
      <c r="J2461"/>
      <c r="K2461">
        <v>60.98</v>
      </c>
      <c r="L2461">
        <v>0.0</v>
      </c>
      <c r="M2461"/>
      <c r="N2461"/>
      <c r="O2461">
        <v>10.98</v>
      </c>
      <c r="P2461">
        <v>0.4</v>
      </c>
      <c r="Q2461">
        <v>72.36</v>
      </c>
      <c r="R2461"/>
      <c r="S2461"/>
      <c r="T2461"/>
      <c r="U2461"/>
      <c r="V2461"/>
      <c r="W2461">
        <v>18</v>
      </c>
    </row>
    <row r="2462" spans="1:23">
      <c r="A2462"/>
      <c r="B2462" t="s">
        <v>72</v>
      </c>
      <c r="C2462" t="s">
        <v>72</v>
      </c>
      <c r="D2462" t="s">
        <v>33</v>
      </c>
      <c r="E2462" t="s">
        <v>34</v>
      </c>
      <c r="F2462" t="str">
        <f>"0002769"</f>
        <v>0002769</v>
      </c>
      <c r="G2462">
        <v>1</v>
      </c>
      <c r="H2462" t="str">
        <f>"00000000"</f>
        <v>00000000</v>
      </c>
      <c r="I2462" t="s">
        <v>35</v>
      </c>
      <c r="J2462"/>
      <c r="K2462">
        <v>34.26</v>
      </c>
      <c r="L2462">
        <v>0.0</v>
      </c>
      <c r="M2462"/>
      <c r="N2462"/>
      <c r="O2462">
        <v>6.17</v>
      </c>
      <c r="P2462">
        <v>0.0</v>
      </c>
      <c r="Q2462">
        <v>40.42</v>
      </c>
      <c r="R2462"/>
      <c r="S2462"/>
      <c r="T2462"/>
      <c r="U2462"/>
      <c r="V2462"/>
      <c r="W2462">
        <v>18</v>
      </c>
    </row>
    <row r="2463" spans="1:23">
      <c r="A2463"/>
      <c r="B2463" t="s">
        <v>72</v>
      </c>
      <c r="C2463" t="s">
        <v>72</v>
      </c>
      <c r="D2463" t="s">
        <v>33</v>
      </c>
      <c r="E2463" t="s">
        <v>34</v>
      </c>
      <c r="F2463" t="str">
        <f>"0002770"</f>
        <v>0002770</v>
      </c>
      <c r="G2463">
        <v>1</v>
      </c>
      <c r="H2463" t="str">
        <f>"00000000"</f>
        <v>00000000</v>
      </c>
      <c r="I2463" t="s">
        <v>35</v>
      </c>
      <c r="J2463"/>
      <c r="K2463">
        <v>5.08</v>
      </c>
      <c r="L2463">
        <v>0.0</v>
      </c>
      <c r="M2463"/>
      <c r="N2463"/>
      <c r="O2463">
        <v>0.92</v>
      </c>
      <c r="P2463">
        <v>0.0</v>
      </c>
      <c r="Q2463">
        <v>6.0</v>
      </c>
      <c r="R2463"/>
      <c r="S2463"/>
      <c r="T2463"/>
      <c r="U2463"/>
      <c r="V2463"/>
      <c r="W2463">
        <v>18</v>
      </c>
    </row>
    <row r="2464" spans="1:23">
      <c r="A2464"/>
      <c r="B2464" t="s">
        <v>72</v>
      </c>
      <c r="C2464" t="s">
        <v>72</v>
      </c>
      <c r="D2464" t="s">
        <v>33</v>
      </c>
      <c r="E2464" t="s">
        <v>34</v>
      </c>
      <c r="F2464" t="str">
        <f>"0002771"</f>
        <v>0002771</v>
      </c>
      <c r="G2464">
        <v>1</v>
      </c>
      <c r="H2464" t="str">
        <f>"00000000"</f>
        <v>00000000</v>
      </c>
      <c r="I2464" t="s">
        <v>35</v>
      </c>
      <c r="J2464"/>
      <c r="K2464">
        <v>41.15</v>
      </c>
      <c r="L2464">
        <v>0.0</v>
      </c>
      <c r="M2464"/>
      <c r="N2464"/>
      <c r="O2464">
        <v>7.41</v>
      </c>
      <c r="P2464">
        <v>0.4</v>
      </c>
      <c r="Q2464">
        <v>48.95</v>
      </c>
      <c r="R2464"/>
      <c r="S2464"/>
      <c r="T2464"/>
      <c r="U2464"/>
      <c r="V2464"/>
      <c r="W2464">
        <v>18</v>
      </c>
    </row>
    <row r="2465" spans="1:23">
      <c r="A2465"/>
      <c r="B2465" t="s">
        <v>72</v>
      </c>
      <c r="C2465" t="s">
        <v>72</v>
      </c>
      <c r="D2465" t="s">
        <v>33</v>
      </c>
      <c r="E2465" t="s">
        <v>34</v>
      </c>
      <c r="F2465" t="str">
        <f>"0002772"</f>
        <v>0002772</v>
      </c>
      <c r="G2465">
        <v>1</v>
      </c>
      <c r="H2465" t="str">
        <f>"00000000"</f>
        <v>00000000</v>
      </c>
      <c r="I2465" t="s">
        <v>35</v>
      </c>
      <c r="J2465"/>
      <c r="K2465">
        <v>2.86</v>
      </c>
      <c r="L2465">
        <v>0.0</v>
      </c>
      <c r="M2465"/>
      <c r="N2465"/>
      <c r="O2465">
        <v>0.51</v>
      </c>
      <c r="P2465">
        <v>0.0</v>
      </c>
      <c r="Q2465">
        <v>3.37</v>
      </c>
      <c r="R2465"/>
      <c r="S2465"/>
      <c r="T2465"/>
      <c r="U2465"/>
      <c r="V2465"/>
      <c r="W2465">
        <v>18</v>
      </c>
    </row>
    <row r="2466" spans="1:23">
      <c r="A2466"/>
      <c r="B2466" t="s">
        <v>72</v>
      </c>
      <c r="C2466" t="s">
        <v>72</v>
      </c>
      <c r="D2466" t="s">
        <v>33</v>
      </c>
      <c r="E2466" t="s">
        <v>34</v>
      </c>
      <c r="F2466" t="str">
        <f>"0002773"</f>
        <v>0002773</v>
      </c>
      <c r="G2466">
        <v>1</v>
      </c>
      <c r="H2466" t="str">
        <f>"00000000"</f>
        <v>00000000</v>
      </c>
      <c r="I2466" t="s">
        <v>35</v>
      </c>
      <c r="J2466"/>
      <c r="K2466">
        <v>35.66</v>
      </c>
      <c r="L2466">
        <v>0.0</v>
      </c>
      <c r="M2466"/>
      <c r="N2466"/>
      <c r="O2466">
        <v>6.42</v>
      </c>
      <c r="P2466">
        <v>0.0</v>
      </c>
      <c r="Q2466">
        <v>42.08</v>
      </c>
      <c r="R2466"/>
      <c r="S2466"/>
      <c r="T2466"/>
      <c r="U2466"/>
      <c r="V2466"/>
      <c r="W2466">
        <v>18</v>
      </c>
    </row>
    <row r="2467" spans="1:23">
      <c r="A2467"/>
      <c r="B2467" t="s">
        <v>72</v>
      </c>
      <c r="C2467" t="s">
        <v>72</v>
      </c>
      <c r="D2467" t="s">
        <v>33</v>
      </c>
      <c r="E2467" t="s">
        <v>34</v>
      </c>
      <c r="F2467" t="str">
        <f>"0002774"</f>
        <v>0002774</v>
      </c>
      <c r="G2467">
        <v>1</v>
      </c>
      <c r="H2467" t="str">
        <f>"00000000"</f>
        <v>00000000</v>
      </c>
      <c r="I2467" t="s">
        <v>35</v>
      </c>
      <c r="J2467"/>
      <c r="K2467">
        <v>7.09</v>
      </c>
      <c r="L2467">
        <v>0.0</v>
      </c>
      <c r="M2467"/>
      <c r="N2467"/>
      <c r="O2467">
        <v>1.28</v>
      </c>
      <c r="P2467">
        <v>0.0</v>
      </c>
      <c r="Q2467">
        <v>8.36</v>
      </c>
      <c r="R2467"/>
      <c r="S2467"/>
      <c r="T2467"/>
      <c r="U2467"/>
      <c r="V2467"/>
      <c r="W2467">
        <v>18</v>
      </c>
    </row>
    <row r="2468" spans="1:23">
      <c r="A2468"/>
      <c r="B2468" t="s">
        <v>72</v>
      </c>
      <c r="C2468" t="s">
        <v>72</v>
      </c>
      <c r="D2468" t="s">
        <v>33</v>
      </c>
      <c r="E2468" t="s">
        <v>34</v>
      </c>
      <c r="F2468" t="str">
        <f>"0002775"</f>
        <v>0002775</v>
      </c>
      <c r="G2468">
        <v>1</v>
      </c>
      <c r="H2468" t="str">
        <f>"00000000"</f>
        <v>00000000</v>
      </c>
      <c r="I2468" t="s">
        <v>35</v>
      </c>
      <c r="J2468"/>
      <c r="K2468">
        <v>6.34</v>
      </c>
      <c r="L2468">
        <v>0.0</v>
      </c>
      <c r="M2468"/>
      <c r="N2468"/>
      <c r="O2468">
        <v>1.14</v>
      </c>
      <c r="P2468">
        <v>0.2</v>
      </c>
      <c r="Q2468">
        <v>7.68</v>
      </c>
      <c r="R2468"/>
      <c r="S2468"/>
      <c r="T2468"/>
      <c r="U2468"/>
      <c r="V2468"/>
      <c r="W2468">
        <v>18</v>
      </c>
    </row>
    <row r="2469" spans="1:23">
      <c r="A2469"/>
      <c r="B2469" t="s">
        <v>72</v>
      </c>
      <c r="C2469" t="s">
        <v>72</v>
      </c>
      <c r="D2469" t="s">
        <v>33</v>
      </c>
      <c r="E2469" t="s">
        <v>34</v>
      </c>
      <c r="F2469" t="str">
        <f>"0002776"</f>
        <v>0002776</v>
      </c>
      <c r="G2469">
        <v>1</v>
      </c>
      <c r="H2469" t="str">
        <f>"00000000"</f>
        <v>00000000</v>
      </c>
      <c r="I2469" t="s">
        <v>35</v>
      </c>
      <c r="J2469"/>
      <c r="K2469">
        <v>37.82</v>
      </c>
      <c r="L2469">
        <v>0.0</v>
      </c>
      <c r="M2469"/>
      <c r="N2469"/>
      <c r="O2469">
        <v>6.81</v>
      </c>
      <c r="P2469">
        <v>0.2</v>
      </c>
      <c r="Q2469">
        <v>44.83</v>
      </c>
      <c r="R2469"/>
      <c r="S2469"/>
      <c r="T2469"/>
      <c r="U2469"/>
      <c r="V2469"/>
      <c r="W2469">
        <v>18</v>
      </c>
    </row>
    <row r="2470" spans="1:23">
      <c r="A2470"/>
      <c r="B2470" t="s">
        <v>72</v>
      </c>
      <c r="C2470" t="s">
        <v>72</v>
      </c>
      <c r="D2470" t="s">
        <v>33</v>
      </c>
      <c r="E2470" t="s">
        <v>34</v>
      </c>
      <c r="F2470" t="str">
        <f>"0002777"</f>
        <v>0002777</v>
      </c>
      <c r="G2470">
        <v>1</v>
      </c>
      <c r="H2470" t="str">
        <f>"00000000"</f>
        <v>00000000</v>
      </c>
      <c r="I2470" t="s">
        <v>35</v>
      </c>
      <c r="J2470"/>
      <c r="K2470">
        <v>1.02</v>
      </c>
      <c r="L2470">
        <v>0.0</v>
      </c>
      <c r="M2470"/>
      <c r="N2470"/>
      <c r="O2470">
        <v>0.18</v>
      </c>
      <c r="P2470">
        <v>0.0</v>
      </c>
      <c r="Q2470">
        <v>1.2</v>
      </c>
      <c r="R2470"/>
      <c r="S2470"/>
      <c r="T2470"/>
      <c r="U2470"/>
      <c r="V2470"/>
      <c r="W2470">
        <v>18</v>
      </c>
    </row>
    <row r="2471" spans="1:23">
      <c r="A2471"/>
      <c r="B2471" t="s">
        <v>72</v>
      </c>
      <c r="C2471" t="s">
        <v>72</v>
      </c>
      <c r="D2471" t="s">
        <v>33</v>
      </c>
      <c r="E2471" t="s">
        <v>34</v>
      </c>
      <c r="F2471" t="str">
        <f>"0002778"</f>
        <v>0002778</v>
      </c>
      <c r="G2471">
        <v>1</v>
      </c>
      <c r="H2471" t="str">
        <f>"00000000"</f>
        <v>00000000</v>
      </c>
      <c r="I2471" t="s">
        <v>35</v>
      </c>
      <c r="J2471"/>
      <c r="K2471">
        <v>3.98</v>
      </c>
      <c r="L2471">
        <v>0.0</v>
      </c>
      <c r="M2471"/>
      <c r="N2471"/>
      <c r="O2471">
        <v>0.72</v>
      </c>
      <c r="P2471">
        <v>0.0</v>
      </c>
      <c r="Q2471">
        <v>4.7</v>
      </c>
      <c r="R2471"/>
      <c r="S2471"/>
      <c r="T2471"/>
      <c r="U2471"/>
      <c r="V2471"/>
      <c r="W2471">
        <v>18</v>
      </c>
    </row>
    <row r="2472" spans="1:23">
      <c r="A2472"/>
      <c r="B2472" t="s">
        <v>72</v>
      </c>
      <c r="C2472" t="s">
        <v>72</v>
      </c>
      <c r="D2472" t="s">
        <v>33</v>
      </c>
      <c r="E2472" t="s">
        <v>34</v>
      </c>
      <c r="F2472" t="str">
        <f>"0002779"</f>
        <v>0002779</v>
      </c>
      <c r="G2472">
        <v>1</v>
      </c>
      <c r="H2472" t="str">
        <f>"00000000"</f>
        <v>00000000</v>
      </c>
      <c r="I2472" t="s">
        <v>35</v>
      </c>
      <c r="J2472"/>
      <c r="K2472">
        <v>59.48</v>
      </c>
      <c r="L2472">
        <v>0.0</v>
      </c>
      <c r="M2472"/>
      <c r="N2472"/>
      <c r="O2472">
        <v>10.71</v>
      </c>
      <c r="P2472">
        <v>0.0</v>
      </c>
      <c r="Q2472">
        <v>70.19</v>
      </c>
      <c r="R2472"/>
      <c r="S2472"/>
      <c r="T2472"/>
      <c r="U2472"/>
      <c r="V2472"/>
      <c r="W2472">
        <v>18</v>
      </c>
    </row>
    <row r="2473" spans="1:23">
      <c r="A2473"/>
      <c r="B2473" t="s">
        <v>72</v>
      </c>
      <c r="C2473" t="s">
        <v>72</v>
      </c>
      <c r="D2473" t="s">
        <v>33</v>
      </c>
      <c r="E2473" t="s">
        <v>34</v>
      </c>
      <c r="F2473" t="str">
        <f>"0002780"</f>
        <v>0002780</v>
      </c>
      <c r="G2473">
        <v>1</v>
      </c>
      <c r="H2473" t="str">
        <f>"00000000"</f>
        <v>00000000</v>
      </c>
      <c r="I2473" t="s">
        <v>35</v>
      </c>
      <c r="J2473"/>
      <c r="K2473">
        <v>66.47</v>
      </c>
      <c r="L2473">
        <v>0.0</v>
      </c>
      <c r="M2473"/>
      <c r="N2473"/>
      <c r="O2473">
        <v>11.97</v>
      </c>
      <c r="P2473">
        <v>0.0</v>
      </c>
      <c r="Q2473">
        <v>78.44</v>
      </c>
      <c r="R2473"/>
      <c r="S2473"/>
      <c r="T2473"/>
      <c r="U2473"/>
      <c r="V2473"/>
      <c r="W2473">
        <v>18</v>
      </c>
    </row>
    <row r="2474" spans="1:23">
      <c r="A2474"/>
      <c r="B2474" t="s">
        <v>72</v>
      </c>
      <c r="C2474" t="s">
        <v>72</v>
      </c>
      <c r="D2474" t="s">
        <v>33</v>
      </c>
      <c r="E2474" t="s">
        <v>34</v>
      </c>
      <c r="F2474" t="str">
        <f>"0002781"</f>
        <v>0002781</v>
      </c>
      <c r="G2474">
        <v>1</v>
      </c>
      <c r="H2474" t="str">
        <f>"00000000"</f>
        <v>00000000</v>
      </c>
      <c r="I2474" t="s">
        <v>35</v>
      </c>
      <c r="J2474"/>
      <c r="K2474">
        <v>24.49</v>
      </c>
      <c r="L2474">
        <v>0.0</v>
      </c>
      <c r="M2474"/>
      <c r="N2474"/>
      <c r="O2474">
        <v>4.41</v>
      </c>
      <c r="P2474">
        <v>0.2</v>
      </c>
      <c r="Q2474">
        <v>29.1</v>
      </c>
      <c r="R2474"/>
      <c r="S2474"/>
      <c r="T2474"/>
      <c r="U2474"/>
      <c r="V2474"/>
      <c r="W2474">
        <v>18</v>
      </c>
    </row>
    <row r="2475" spans="1:23">
      <c r="A2475"/>
      <c r="B2475" t="s">
        <v>72</v>
      </c>
      <c r="C2475" t="s">
        <v>72</v>
      </c>
      <c r="D2475" t="s">
        <v>33</v>
      </c>
      <c r="E2475" t="s">
        <v>34</v>
      </c>
      <c r="F2475" t="str">
        <f>"0002782"</f>
        <v>0002782</v>
      </c>
      <c r="G2475">
        <v>1</v>
      </c>
      <c r="H2475" t="str">
        <f>"00000000"</f>
        <v>00000000</v>
      </c>
      <c r="I2475" t="s">
        <v>35</v>
      </c>
      <c r="J2475"/>
      <c r="K2475">
        <v>16.73</v>
      </c>
      <c r="L2475">
        <v>0.0</v>
      </c>
      <c r="M2475"/>
      <c r="N2475"/>
      <c r="O2475">
        <v>3.01</v>
      </c>
      <c r="P2475">
        <v>0.2</v>
      </c>
      <c r="Q2475">
        <v>19.95</v>
      </c>
      <c r="R2475"/>
      <c r="S2475"/>
      <c r="T2475"/>
      <c r="U2475"/>
      <c r="V2475"/>
      <c r="W2475">
        <v>18</v>
      </c>
    </row>
    <row r="2476" spans="1:23">
      <c r="A2476"/>
      <c r="B2476" t="s">
        <v>72</v>
      </c>
      <c r="C2476" t="s">
        <v>72</v>
      </c>
      <c r="D2476" t="s">
        <v>33</v>
      </c>
      <c r="E2476" t="s">
        <v>34</v>
      </c>
      <c r="F2476" t="str">
        <f>"0002783"</f>
        <v>0002783</v>
      </c>
      <c r="G2476">
        <v>1</v>
      </c>
      <c r="H2476" t="str">
        <f>"00000000"</f>
        <v>00000000</v>
      </c>
      <c r="I2476" t="s">
        <v>35</v>
      </c>
      <c r="J2476"/>
      <c r="K2476">
        <v>1.86</v>
      </c>
      <c r="L2476">
        <v>0.0</v>
      </c>
      <c r="M2476"/>
      <c r="N2476"/>
      <c r="O2476">
        <v>0.34</v>
      </c>
      <c r="P2476">
        <v>0.0</v>
      </c>
      <c r="Q2476">
        <v>2.2</v>
      </c>
      <c r="R2476"/>
      <c r="S2476"/>
      <c r="T2476"/>
      <c r="U2476"/>
      <c r="V2476"/>
      <c r="W2476">
        <v>18</v>
      </c>
    </row>
    <row r="2477" spans="1:23">
      <c r="A2477"/>
      <c r="B2477" t="s">
        <v>72</v>
      </c>
      <c r="C2477" t="s">
        <v>72</v>
      </c>
      <c r="D2477" t="s">
        <v>33</v>
      </c>
      <c r="E2477" t="s">
        <v>34</v>
      </c>
      <c r="F2477" t="str">
        <f>"0002784"</f>
        <v>0002784</v>
      </c>
      <c r="G2477">
        <v>1</v>
      </c>
      <c r="H2477" t="str">
        <f>"00000000"</f>
        <v>00000000</v>
      </c>
      <c r="I2477" t="s">
        <v>35</v>
      </c>
      <c r="J2477"/>
      <c r="K2477">
        <v>26.36</v>
      </c>
      <c r="L2477">
        <v>0.0</v>
      </c>
      <c r="M2477"/>
      <c r="N2477"/>
      <c r="O2477">
        <v>4.74</v>
      </c>
      <c r="P2477">
        <v>0.0</v>
      </c>
      <c r="Q2477">
        <v>31.1</v>
      </c>
      <c r="R2477"/>
      <c r="S2477"/>
      <c r="T2477"/>
      <c r="U2477"/>
      <c r="V2477"/>
      <c r="W2477">
        <v>18</v>
      </c>
    </row>
    <row r="2478" spans="1:23">
      <c r="A2478"/>
      <c r="B2478" t="s">
        <v>72</v>
      </c>
      <c r="C2478" t="s">
        <v>72</v>
      </c>
      <c r="D2478" t="s">
        <v>33</v>
      </c>
      <c r="E2478" t="s">
        <v>34</v>
      </c>
      <c r="F2478" t="str">
        <f>"0002785"</f>
        <v>0002785</v>
      </c>
      <c r="G2478">
        <v>1</v>
      </c>
      <c r="H2478" t="str">
        <f>"00000000"</f>
        <v>00000000</v>
      </c>
      <c r="I2478" t="s">
        <v>35</v>
      </c>
      <c r="J2478"/>
      <c r="K2478">
        <v>4.19</v>
      </c>
      <c r="L2478">
        <v>0.0</v>
      </c>
      <c r="M2478"/>
      <c r="N2478"/>
      <c r="O2478">
        <v>0.76</v>
      </c>
      <c r="P2478">
        <v>0.0</v>
      </c>
      <c r="Q2478">
        <v>4.95</v>
      </c>
      <c r="R2478"/>
      <c r="S2478"/>
      <c r="T2478"/>
      <c r="U2478"/>
      <c r="V2478"/>
      <c r="W2478">
        <v>18</v>
      </c>
    </row>
    <row r="2479" spans="1:23">
      <c r="A2479"/>
      <c r="B2479" t="s">
        <v>72</v>
      </c>
      <c r="C2479" t="s">
        <v>72</v>
      </c>
      <c r="D2479" t="s">
        <v>33</v>
      </c>
      <c r="E2479" t="s">
        <v>34</v>
      </c>
      <c r="F2479" t="str">
        <f>"0002786"</f>
        <v>0002786</v>
      </c>
      <c r="G2479">
        <v>1</v>
      </c>
      <c r="H2479" t="str">
        <f>"00000000"</f>
        <v>00000000</v>
      </c>
      <c r="I2479" t="s">
        <v>35</v>
      </c>
      <c r="J2479"/>
      <c r="K2479">
        <v>20.08</v>
      </c>
      <c r="L2479">
        <v>0.0</v>
      </c>
      <c r="M2479"/>
      <c r="N2479"/>
      <c r="O2479">
        <v>3.61</v>
      </c>
      <c r="P2479">
        <v>0.2</v>
      </c>
      <c r="Q2479">
        <v>23.9</v>
      </c>
      <c r="R2479"/>
      <c r="S2479"/>
      <c r="T2479"/>
      <c r="U2479"/>
      <c r="V2479"/>
      <c r="W2479">
        <v>18</v>
      </c>
    </row>
    <row r="2480" spans="1:23">
      <c r="A2480"/>
      <c r="B2480" t="s">
        <v>72</v>
      </c>
      <c r="C2480" t="s">
        <v>72</v>
      </c>
      <c r="D2480" t="s">
        <v>33</v>
      </c>
      <c r="E2480" t="s">
        <v>34</v>
      </c>
      <c r="F2480" t="str">
        <f>"0002787"</f>
        <v>0002787</v>
      </c>
      <c r="G2480">
        <v>1</v>
      </c>
      <c r="H2480" t="str">
        <f>"00000000"</f>
        <v>00000000</v>
      </c>
      <c r="I2480" t="s">
        <v>35</v>
      </c>
      <c r="J2480"/>
      <c r="K2480">
        <v>8.1</v>
      </c>
      <c r="L2480">
        <v>0.0</v>
      </c>
      <c r="M2480"/>
      <c r="N2480"/>
      <c r="O2480">
        <v>1.46</v>
      </c>
      <c r="P2480">
        <v>0.0</v>
      </c>
      <c r="Q2480">
        <v>9.56</v>
      </c>
      <c r="R2480"/>
      <c r="S2480"/>
      <c r="T2480"/>
      <c r="U2480"/>
      <c r="V2480"/>
      <c r="W2480">
        <v>18</v>
      </c>
    </row>
    <row r="2481" spans="1:23">
      <c r="A2481"/>
      <c r="B2481" t="s">
        <v>72</v>
      </c>
      <c r="C2481" t="s">
        <v>72</v>
      </c>
      <c r="D2481" t="s">
        <v>33</v>
      </c>
      <c r="E2481" t="s">
        <v>34</v>
      </c>
      <c r="F2481" t="str">
        <f>"0002788"</f>
        <v>0002788</v>
      </c>
      <c r="G2481">
        <v>1</v>
      </c>
      <c r="H2481" t="str">
        <f>"00000000"</f>
        <v>00000000</v>
      </c>
      <c r="I2481" t="s">
        <v>35</v>
      </c>
      <c r="J2481"/>
      <c r="K2481">
        <v>1.17</v>
      </c>
      <c r="L2481">
        <v>0.0</v>
      </c>
      <c r="M2481"/>
      <c r="N2481"/>
      <c r="O2481">
        <v>0.21</v>
      </c>
      <c r="P2481">
        <v>0.0</v>
      </c>
      <c r="Q2481">
        <v>1.38</v>
      </c>
      <c r="R2481"/>
      <c r="S2481"/>
      <c r="T2481"/>
      <c r="U2481"/>
      <c r="V2481"/>
      <c r="W2481">
        <v>18</v>
      </c>
    </row>
    <row r="2482" spans="1:23">
      <c r="A2482"/>
      <c r="B2482" t="s">
        <v>72</v>
      </c>
      <c r="C2482" t="s">
        <v>72</v>
      </c>
      <c r="D2482" t="s">
        <v>33</v>
      </c>
      <c r="E2482" t="s">
        <v>34</v>
      </c>
      <c r="F2482" t="str">
        <f>"0002789"</f>
        <v>0002789</v>
      </c>
      <c r="G2482">
        <v>1</v>
      </c>
      <c r="H2482" t="str">
        <f>"00000000"</f>
        <v>00000000</v>
      </c>
      <c r="I2482" t="s">
        <v>35</v>
      </c>
      <c r="J2482"/>
      <c r="K2482">
        <v>7.47</v>
      </c>
      <c r="L2482">
        <v>0.0</v>
      </c>
      <c r="M2482"/>
      <c r="N2482"/>
      <c r="O2482">
        <v>1.35</v>
      </c>
      <c r="P2482">
        <v>0.2</v>
      </c>
      <c r="Q2482">
        <v>9.02</v>
      </c>
      <c r="R2482"/>
      <c r="S2482"/>
      <c r="T2482"/>
      <c r="U2482"/>
      <c r="V2482"/>
      <c r="W2482">
        <v>18</v>
      </c>
    </row>
    <row r="2483" spans="1:23">
      <c r="A2483"/>
      <c r="B2483" t="s">
        <v>72</v>
      </c>
      <c r="C2483" t="s">
        <v>72</v>
      </c>
      <c r="D2483" t="s">
        <v>33</v>
      </c>
      <c r="E2483" t="s">
        <v>34</v>
      </c>
      <c r="F2483" t="str">
        <f>"0002790"</f>
        <v>0002790</v>
      </c>
      <c r="G2483">
        <v>1</v>
      </c>
      <c r="H2483" t="str">
        <f>"00000000"</f>
        <v>00000000</v>
      </c>
      <c r="I2483" t="s">
        <v>35</v>
      </c>
      <c r="J2483"/>
      <c r="K2483">
        <v>19.49</v>
      </c>
      <c r="L2483">
        <v>0.0</v>
      </c>
      <c r="M2483"/>
      <c r="N2483"/>
      <c r="O2483">
        <v>3.51</v>
      </c>
      <c r="P2483">
        <v>0.0</v>
      </c>
      <c r="Q2483">
        <v>23.0</v>
      </c>
      <c r="R2483"/>
      <c r="S2483"/>
      <c r="T2483"/>
      <c r="U2483"/>
      <c r="V2483"/>
      <c r="W2483">
        <v>18</v>
      </c>
    </row>
    <row r="2484" spans="1:23">
      <c r="A2484"/>
      <c r="B2484" t="s">
        <v>72</v>
      </c>
      <c r="C2484" t="s">
        <v>72</v>
      </c>
      <c r="D2484" t="s">
        <v>33</v>
      </c>
      <c r="E2484" t="s">
        <v>34</v>
      </c>
      <c r="F2484" t="str">
        <f>"0002791"</f>
        <v>0002791</v>
      </c>
      <c r="G2484">
        <v>1</v>
      </c>
      <c r="H2484" t="str">
        <f>"00000000"</f>
        <v>00000000</v>
      </c>
      <c r="I2484" t="s">
        <v>35</v>
      </c>
      <c r="J2484"/>
      <c r="K2484">
        <v>15.71</v>
      </c>
      <c r="L2484">
        <v>0.0</v>
      </c>
      <c r="M2484"/>
      <c r="N2484"/>
      <c r="O2484">
        <v>2.83</v>
      </c>
      <c r="P2484">
        <v>0.0</v>
      </c>
      <c r="Q2484">
        <v>18.53</v>
      </c>
      <c r="R2484"/>
      <c r="S2484"/>
      <c r="T2484"/>
      <c r="U2484"/>
      <c r="V2484"/>
      <c r="W2484">
        <v>18</v>
      </c>
    </row>
    <row r="2485" spans="1:23">
      <c r="A2485"/>
      <c r="B2485" t="s">
        <v>72</v>
      </c>
      <c r="C2485" t="s">
        <v>72</v>
      </c>
      <c r="D2485" t="s">
        <v>33</v>
      </c>
      <c r="E2485" t="s">
        <v>34</v>
      </c>
      <c r="F2485" t="str">
        <f>"0002792"</f>
        <v>0002792</v>
      </c>
      <c r="G2485">
        <v>1</v>
      </c>
      <c r="H2485" t="str">
        <f>"00000000"</f>
        <v>00000000</v>
      </c>
      <c r="I2485" t="s">
        <v>35</v>
      </c>
      <c r="J2485"/>
      <c r="K2485">
        <v>39.42</v>
      </c>
      <c r="L2485">
        <v>0.0</v>
      </c>
      <c r="M2485"/>
      <c r="N2485"/>
      <c r="O2485">
        <v>7.1</v>
      </c>
      <c r="P2485">
        <v>0.2</v>
      </c>
      <c r="Q2485">
        <v>46.71</v>
      </c>
      <c r="R2485"/>
      <c r="S2485"/>
      <c r="T2485"/>
      <c r="U2485"/>
      <c r="V2485"/>
      <c r="W2485">
        <v>18</v>
      </c>
    </row>
    <row r="2486" spans="1:23">
      <c r="A2486"/>
      <c r="B2486" t="s">
        <v>72</v>
      </c>
      <c r="C2486" t="s">
        <v>72</v>
      </c>
      <c r="D2486" t="s">
        <v>33</v>
      </c>
      <c r="E2486" t="s">
        <v>34</v>
      </c>
      <c r="F2486" t="str">
        <f>"0002793"</f>
        <v>0002793</v>
      </c>
      <c r="G2486">
        <v>1</v>
      </c>
      <c r="H2486" t="str">
        <f>"00000000"</f>
        <v>00000000</v>
      </c>
      <c r="I2486" t="s">
        <v>35</v>
      </c>
      <c r="J2486"/>
      <c r="K2486">
        <v>8.52</v>
      </c>
      <c r="L2486">
        <v>0.0</v>
      </c>
      <c r="M2486"/>
      <c r="N2486"/>
      <c r="O2486">
        <v>1.53</v>
      </c>
      <c r="P2486">
        <v>0.0</v>
      </c>
      <c r="Q2486">
        <v>10.05</v>
      </c>
      <c r="R2486"/>
      <c r="S2486"/>
      <c r="T2486"/>
      <c r="U2486"/>
      <c r="V2486"/>
      <c r="W2486">
        <v>18</v>
      </c>
    </row>
    <row r="2487" spans="1:23">
      <c r="A2487"/>
      <c r="B2487" t="s">
        <v>72</v>
      </c>
      <c r="C2487" t="s">
        <v>72</v>
      </c>
      <c r="D2487" t="s">
        <v>33</v>
      </c>
      <c r="E2487" t="s">
        <v>34</v>
      </c>
      <c r="F2487" t="str">
        <f>"0002794"</f>
        <v>0002794</v>
      </c>
      <c r="G2487">
        <v>1</v>
      </c>
      <c r="H2487" t="str">
        <f>"00000000"</f>
        <v>00000000</v>
      </c>
      <c r="I2487" t="s">
        <v>35</v>
      </c>
      <c r="J2487"/>
      <c r="K2487">
        <v>16.46</v>
      </c>
      <c r="L2487">
        <v>0.0</v>
      </c>
      <c r="M2487"/>
      <c r="N2487"/>
      <c r="O2487">
        <v>2.96</v>
      </c>
      <c r="P2487">
        <v>0.0</v>
      </c>
      <c r="Q2487">
        <v>19.42</v>
      </c>
      <c r="R2487"/>
      <c r="S2487"/>
      <c r="T2487"/>
      <c r="U2487"/>
      <c r="V2487"/>
      <c r="W2487">
        <v>18</v>
      </c>
    </row>
    <row r="2488" spans="1:23">
      <c r="A2488"/>
      <c r="B2488" t="s">
        <v>72</v>
      </c>
      <c r="C2488" t="s">
        <v>72</v>
      </c>
      <c r="D2488" t="s">
        <v>33</v>
      </c>
      <c r="E2488" t="s">
        <v>34</v>
      </c>
      <c r="F2488" t="str">
        <f>"0002795"</f>
        <v>0002795</v>
      </c>
      <c r="G2488">
        <v>1</v>
      </c>
      <c r="H2488" t="str">
        <f>"00000000"</f>
        <v>00000000</v>
      </c>
      <c r="I2488" t="s">
        <v>35</v>
      </c>
      <c r="J2488"/>
      <c r="K2488">
        <v>9.93</v>
      </c>
      <c r="L2488">
        <v>0.0</v>
      </c>
      <c r="M2488"/>
      <c r="N2488"/>
      <c r="O2488">
        <v>1.79</v>
      </c>
      <c r="P2488">
        <v>0.2</v>
      </c>
      <c r="Q2488">
        <v>11.92</v>
      </c>
      <c r="R2488"/>
      <c r="S2488"/>
      <c r="T2488"/>
      <c r="U2488"/>
      <c r="V2488"/>
      <c r="W2488">
        <v>18</v>
      </c>
    </row>
    <row r="2489" spans="1:23">
      <c r="A2489"/>
      <c r="B2489" t="s">
        <v>72</v>
      </c>
      <c r="C2489" t="s">
        <v>72</v>
      </c>
      <c r="D2489" t="s">
        <v>33</v>
      </c>
      <c r="E2489" t="s">
        <v>34</v>
      </c>
      <c r="F2489" t="str">
        <f>"0002796"</f>
        <v>0002796</v>
      </c>
      <c r="G2489">
        <v>1</v>
      </c>
      <c r="H2489" t="str">
        <f>"00000000"</f>
        <v>00000000</v>
      </c>
      <c r="I2489" t="s">
        <v>35</v>
      </c>
      <c r="J2489"/>
      <c r="K2489">
        <v>59.34</v>
      </c>
      <c r="L2489">
        <v>0.0</v>
      </c>
      <c r="M2489"/>
      <c r="N2489"/>
      <c r="O2489">
        <v>10.68</v>
      </c>
      <c r="P2489">
        <v>0.2</v>
      </c>
      <c r="Q2489">
        <v>70.22</v>
      </c>
      <c r="R2489"/>
      <c r="S2489"/>
      <c r="T2489"/>
      <c r="U2489"/>
      <c r="V2489"/>
      <c r="W2489">
        <v>18</v>
      </c>
    </row>
    <row r="2490" spans="1:23">
      <c r="A2490"/>
      <c r="B2490" t="s">
        <v>72</v>
      </c>
      <c r="C2490" t="s">
        <v>72</v>
      </c>
      <c r="D2490" t="s">
        <v>33</v>
      </c>
      <c r="E2490" t="s">
        <v>34</v>
      </c>
      <c r="F2490" t="str">
        <f>"0002797"</f>
        <v>0002797</v>
      </c>
      <c r="G2490">
        <v>1</v>
      </c>
      <c r="H2490" t="str">
        <f>"00000000"</f>
        <v>00000000</v>
      </c>
      <c r="I2490" t="s">
        <v>35</v>
      </c>
      <c r="J2490"/>
      <c r="K2490">
        <v>3.81</v>
      </c>
      <c r="L2490">
        <v>0.0</v>
      </c>
      <c r="M2490"/>
      <c r="N2490"/>
      <c r="O2490">
        <v>0.69</v>
      </c>
      <c r="P2490">
        <v>0.0</v>
      </c>
      <c r="Q2490">
        <v>4.5</v>
      </c>
      <c r="R2490"/>
      <c r="S2490"/>
      <c r="T2490"/>
      <c r="U2490"/>
      <c r="V2490"/>
      <c r="W2490">
        <v>18</v>
      </c>
    </row>
    <row r="2491" spans="1:23">
      <c r="A2491"/>
      <c r="B2491" t="s">
        <v>72</v>
      </c>
      <c r="C2491" t="s">
        <v>72</v>
      </c>
      <c r="D2491" t="s">
        <v>33</v>
      </c>
      <c r="E2491" t="s">
        <v>34</v>
      </c>
      <c r="F2491" t="str">
        <f>"0002798"</f>
        <v>0002798</v>
      </c>
      <c r="G2491">
        <v>1</v>
      </c>
      <c r="H2491" t="str">
        <f>"00000000"</f>
        <v>00000000</v>
      </c>
      <c r="I2491" t="s">
        <v>35</v>
      </c>
      <c r="J2491"/>
      <c r="K2491">
        <v>26.99</v>
      </c>
      <c r="L2491">
        <v>0.0</v>
      </c>
      <c r="M2491"/>
      <c r="N2491"/>
      <c r="O2491">
        <v>4.86</v>
      </c>
      <c r="P2491">
        <v>0.2</v>
      </c>
      <c r="Q2491">
        <v>32.05</v>
      </c>
      <c r="R2491"/>
      <c r="S2491"/>
      <c r="T2491"/>
      <c r="U2491"/>
      <c r="V2491"/>
      <c r="W2491">
        <v>18</v>
      </c>
    </row>
    <row r="2492" spans="1:23">
      <c r="A2492"/>
      <c r="B2492" t="s">
        <v>72</v>
      </c>
      <c r="C2492" t="s">
        <v>72</v>
      </c>
      <c r="D2492" t="s">
        <v>33</v>
      </c>
      <c r="E2492" t="s">
        <v>34</v>
      </c>
      <c r="F2492" t="str">
        <f>"0002799"</f>
        <v>0002799</v>
      </c>
      <c r="G2492">
        <v>1</v>
      </c>
      <c r="H2492" t="str">
        <f>"00000000"</f>
        <v>00000000</v>
      </c>
      <c r="I2492" t="s">
        <v>35</v>
      </c>
      <c r="J2492"/>
      <c r="K2492">
        <v>3.81</v>
      </c>
      <c r="L2492">
        <v>0.0</v>
      </c>
      <c r="M2492"/>
      <c r="N2492"/>
      <c r="O2492">
        <v>0.69</v>
      </c>
      <c r="P2492">
        <v>0.0</v>
      </c>
      <c r="Q2492">
        <v>4.5</v>
      </c>
      <c r="R2492"/>
      <c r="S2492"/>
      <c r="T2492"/>
      <c r="U2492"/>
      <c r="V2492"/>
      <c r="W2492">
        <v>18</v>
      </c>
    </row>
    <row r="2493" spans="1:23">
      <c r="A2493"/>
      <c r="B2493" t="s">
        <v>72</v>
      </c>
      <c r="C2493" t="s">
        <v>72</v>
      </c>
      <c r="D2493" t="s">
        <v>33</v>
      </c>
      <c r="E2493" t="s">
        <v>34</v>
      </c>
      <c r="F2493" t="str">
        <f>"0002800"</f>
        <v>0002800</v>
      </c>
      <c r="G2493">
        <v>1</v>
      </c>
      <c r="H2493" t="str">
        <f>"00000000"</f>
        <v>00000000</v>
      </c>
      <c r="I2493" t="s">
        <v>35</v>
      </c>
      <c r="J2493"/>
      <c r="K2493">
        <v>1.27</v>
      </c>
      <c r="L2493">
        <v>0.0</v>
      </c>
      <c r="M2493"/>
      <c r="N2493"/>
      <c r="O2493">
        <v>0.23</v>
      </c>
      <c r="P2493">
        <v>0.0</v>
      </c>
      <c r="Q2493">
        <v>1.5</v>
      </c>
      <c r="R2493"/>
      <c r="S2493"/>
      <c r="T2493"/>
      <c r="U2493"/>
      <c r="V2493"/>
      <c r="W2493">
        <v>18</v>
      </c>
    </row>
    <row r="2494" spans="1:23">
      <c r="A2494"/>
      <c r="B2494" t="s">
        <v>72</v>
      </c>
      <c r="C2494" t="s">
        <v>72</v>
      </c>
      <c r="D2494" t="s">
        <v>33</v>
      </c>
      <c r="E2494" t="s">
        <v>34</v>
      </c>
      <c r="F2494" t="str">
        <f>"0002801"</f>
        <v>0002801</v>
      </c>
      <c r="G2494">
        <v>1</v>
      </c>
      <c r="H2494" t="str">
        <f>"00000000"</f>
        <v>00000000</v>
      </c>
      <c r="I2494" t="s">
        <v>35</v>
      </c>
      <c r="J2494"/>
      <c r="K2494">
        <v>3.14</v>
      </c>
      <c r="L2494">
        <v>0.0</v>
      </c>
      <c r="M2494"/>
      <c r="N2494"/>
      <c r="O2494">
        <v>0.56</v>
      </c>
      <c r="P2494">
        <v>0.0</v>
      </c>
      <c r="Q2494">
        <v>3.7</v>
      </c>
      <c r="R2494"/>
      <c r="S2494"/>
      <c r="T2494"/>
      <c r="U2494"/>
      <c r="V2494"/>
      <c r="W2494">
        <v>18</v>
      </c>
    </row>
    <row r="2495" spans="1:23">
      <c r="A2495"/>
      <c r="B2495" t="s">
        <v>72</v>
      </c>
      <c r="C2495" t="s">
        <v>72</v>
      </c>
      <c r="D2495" t="s">
        <v>33</v>
      </c>
      <c r="E2495" t="s">
        <v>34</v>
      </c>
      <c r="F2495" t="str">
        <f>"0002802"</f>
        <v>0002802</v>
      </c>
      <c r="G2495">
        <v>1</v>
      </c>
      <c r="H2495" t="str">
        <f>"00000000"</f>
        <v>00000000</v>
      </c>
      <c r="I2495" t="s">
        <v>35</v>
      </c>
      <c r="J2495"/>
      <c r="K2495">
        <v>44.32</v>
      </c>
      <c r="L2495">
        <v>0.0</v>
      </c>
      <c r="M2495"/>
      <c r="N2495"/>
      <c r="O2495">
        <v>7.98</v>
      </c>
      <c r="P2495">
        <v>0.0</v>
      </c>
      <c r="Q2495">
        <v>52.3</v>
      </c>
      <c r="R2495"/>
      <c r="S2495"/>
      <c r="T2495"/>
      <c r="U2495"/>
      <c r="V2495"/>
      <c r="W2495">
        <v>18</v>
      </c>
    </row>
    <row r="2496" spans="1:23">
      <c r="A2496"/>
      <c r="B2496" t="s">
        <v>72</v>
      </c>
      <c r="C2496" t="s">
        <v>72</v>
      </c>
      <c r="D2496" t="s">
        <v>33</v>
      </c>
      <c r="E2496" t="s">
        <v>34</v>
      </c>
      <c r="F2496" t="str">
        <f>"0002803"</f>
        <v>0002803</v>
      </c>
      <c r="G2496">
        <v>1</v>
      </c>
      <c r="H2496" t="str">
        <f>"00000000"</f>
        <v>00000000</v>
      </c>
      <c r="I2496" t="s">
        <v>35</v>
      </c>
      <c r="J2496"/>
      <c r="K2496">
        <v>1.27</v>
      </c>
      <c r="L2496">
        <v>0.0</v>
      </c>
      <c r="M2496"/>
      <c r="N2496"/>
      <c r="O2496">
        <v>0.23</v>
      </c>
      <c r="P2496">
        <v>0.0</v>
      </c>
      <c r="Q2496">
        <v>1.5</v>
      </c>
      <c r="R2496"/>
      <c r="S2496"/>
      <c r="T2496"/>
      <c r="U2496"/>
      <c r="V2496"/>
      <c r="W2496">
        <v>18</v>
      </c>
    </row>
    <row r="2497" spans="1:23">
      <c r="A2497"/>
      <c r="B2497" t="s">
        <v>72</v>
      </c>
      <c r="C2497" t="s">
        <v>72</v>
      </c>
      <c r="D2497" t="s">
        <v>33</v>
      </c>
      <c r="E2497" t="s">
        <v>34</v>
      </c>
      <c r="F2497" t="str">
        <f>"0002804"</f>
        <v>0002804</v>
      </c>
      <c r="G2497">
        <v>1</v>
      </c>
      <c r="H2497" t="str">
        <f>"00000000"</f>
        <v>00000000</v>
      </c>
      <c r="I2497" t="s">
        <v>35</v>
      </c>
      <c r="J2497"/>
      <c r="K2497">
        <v>22.81</v>
      </c>
      <c r="L2497">
        <v>0.0</v>
      </c>
      <c r="M2497"/>
      <c r="N2497"/>
      <c r="O2497">
        <v>4.11</v>
      </c>
      <c r="P2497">
        <v>0.2</v>
      </c>
      <c r="Q2497">
        <v>27.12</v>
      </c>
      <c r="R2497"/>
      <c r="S2497"/>
      <c r="T2497"/>
      <c r="U2497"/>
      <c r="V2497"/>
      <c r="W2497">
        <v>18</v>
      </c>
    </row>
    <row r="2498" spans="1:23">
      <c r="A2498"/>
      <c r="B2498" t="s">
        <v>72</v>
      </c>
      <c r="C2498" t="s">
        <v>72</v>
      </c>
      <c r="D2498" t="s">
        <v>33</v>
      </c>
      <c r="E2498" t="s">
        <v>34</v>
      </c>
      <c r="F2498" t="str">
        <f>"0002805"</f>
        <v>0002805</v>
      </c>
      <c r="G2498">
        <v>1</v>
      </c>
      <c r="H2498" t="str">
        <f>"00000000"</f>
        <v>00000000</v>
      </c>
      <c r="I2498" t="s">
        <v>35</v>
      </c>
      <c r="J2498"/>
      <c r="K2498">
        <v>2.97</v>
      </c>
      <c r="L2498">
        <v>0.0</v>
      </c>
      <c r="M2498"/>
      <c r="N2498"/>
      <c r="O2498">
        <v>0.53</v>
      </c>
      <c r="P2498">
        <v>0.0</v>
      </c>
      <c r="Q2498">
        <v>3.5</v>
      </c>
      <c r="R2498"/>
      <c r="S2498"/>
      <c r="T2498"/>
      <c r="U2498"/>
      <c r="V2498"/>
      <c r="W2498">
        <v>18</v>
      </c>
    </row>
    <row r="2499" spans="1:23">
      <c r="A2499"/>
      <c r="B2499" t="s">
        <v>72</v>
      </c>
      <c r="C2499" t="s">
        <v>72</v>
      </c>
      <c r="D2499" t="s">
        <v>33</v>
      </c>
      <c r="E2499" t="s">
        <v>34</v>
      </c>
      <c r="F2499" t="str">
        <f>"0002806"</f>
        <v>0002806</v>
      </c>
      <c r="G2499">
        <v>1</v>
      </c>
      <c r="H2499" t="str">
        <f>"00000000"</f>
        <v>00000000</v>
      </c>
      <c r="I2499" t="s">
        <v>35</v>
      </c>
      <c r="J2499"/>
      <c r="K2499">
        <v>9.42</v>
      </c>
      <c r="L2499">
        <v>0.0</v>
      </c>
      <c r="M2499"/>
      <c r="N2499"/>
      <c r="O2499">
        <v>1.7</v>
      </c>
      <c r="P2499">
        <v>0.2</v>
      </c>
      <c r="Q2499">
        <v>11.32</v>
      </c>
      <c r="R2499"/>
      <c r="S2499"/>
      <c r="T2499"/>
      <c r="U2499"/>
      <c r="V2499"/>
      <c r="W2499">
        <v>18</v>
      </c>
    </row>
    <row r="2500" spans="1:23">
      <c r="A2500"/>
      <c r="B2500" t="s">
        <v>72</v>
      </c>
      <c r="C2500" t="s">
        <v>72</v>
      </c>
      <c r="D2500" t="s">
        <v>33</v>
      </c>
      <c r="E2500" t="s">
        <v>34</v>
      </c>
      <c r="F2500" t="str">
        <f>"0002807"</f>
        <v>0002807</v>
      </c>
      <c r="G2500">
        <v>1</v>
      </c>
      <c r="H2500" t="str">
        <f>"00000000"</f>
        <v>00000000</v>
      </c>
      <c r="I2500" t="s">
        <v>35</v>
      </c>
      <c r="J2500"/>
      <c r="K2500">
        <v>12.22</v>
      </c>
      <c r="L2500">
        <v>0.0</v>
      </c>
      <c r="M2500"/>
      <c r="N2500"/>
      <c r="O2500">
        <v>2.2</v>
      </c>
      <c r="P2500">
        <v>0.2</v>
      </c>
      <c r="Q2500">
        <v>14.62</v>
      </c>
      <c r="R2500"/>
      <c r="S2500"/>
      <c r="T2500"/>
      <c r="U2500"/>
      <c r="V2500"/>
      <c r="W2500">
        <v>18</v>
      </c>
    </row>
    <row r="2501" spans="1:23">
      <c r="A2501"/>
      <c r="B2501" t="s">
        <v>72</v>
      </c>
      <c r="C2501" t="s">
        <v>72</v>
      </c>
      <c r="D2501" t="s">
        <v>33</v>
      </c>
      <c r="E2501" t="s">
        <v>34</v>
      </c>
      <c r="F2501" t="str">
        <f>"0002808"</f>
        <v>0002808</v>
      </c>
      <c r="G2501">
        <v>1</v>
      </c>
      <c r="H2501" t="str">
        <f>"00000000"</f>
        <v>00000000</v>
      </c>
      <c r="I2501" t="s">
        <v>35</v>
      </c>
      <c r="J2501"/>
      <c r="K2501">
        <v>14.85</v>
      </c>
      <c r="L2501">
        <v>0.0</v>
      </c>
      <c r="M2501"/>
      <c r="N2501"/>
      <c r="O2501">
        <v>2.67</v>
      </c>
      <c r="P2501">
        <v>0.2</v>
      </c>
      <c r="Q2501">
        <v>17.72</v>
      </c>
      <c r="R2501"/>
      <c r="S2501"/>
      <c r="T2501"/>
      <c r="U2501"/>
      <c r="V2501"/>
      <c r="W2501">
        <v>18</v>
      </c>
    </row>
    <row r="2502" spans="1:23">
      <c r="A2502"/>
      <c r="B2502" t="s">
        <v>72</v>
      </c>
      <c r="C2502" t="s">
        <v>72</v>
      </c>
      <c r="D2502" t="s">
        <v>33</v>
      </c>
      <c r="E2502" t="s">
        <v>34</v>
      </c>
      <c r="F2502" t="str">
        <f>"0002809"</f>
        <v>0002809</v>
      </c>
      <c r="G2502">
        <v>1</v>
      </c>
      <c r="H2502" t="str">
        <f>"00000000"</f>
        <v>00000000</v>
      </c>
      <c r="I2502" t="s">
        <v>35</v>
      </c>
      <c r="J2502"/>
      <c r="K2502">
        <v>5.29</v>
      </c>
      <c r="L2502">
        <v>0.0</v>
      </c>
      <c r="M2502"/>
      <c r="N2502"/>
      <c r="O2502">
        <v>0.95</v>
      </c>
      <c r="P2502">
        <v>0.0</v>
      </c>
      <c r="Q2502">
        <v>6.24</v>
      </c>
      <c r="R2502"/>
      <c r="S2502"/>
      <c r="T2502"/>
      <c r="U2502"/>
      <c r="V2502"/>
      <c r="W2502">
        <v>18</v>
      </c>
    </row>
    <row r="2503" spans="1:23">
      <c r="A2503"/>
      <c r="B2503" t="s">
        <v>72</v>
      </c>
      <c r="C2503" t="s">
        <v>72</v>
      </c>
      <c r="D2503" t="s">
        <v>33</v>
      </c>
      <c r="E2503" t="s">
        <v>34</v>
      </c>
      <c r="F2503" t="str">
        <f>"0002810"</f>
        <v>0002810</v>
      </c>
      <c r="G2503">
        <v>1</v>
      </c>
      <c r="H2503" t="str">
        <f>"00000000"</f>
        <v>00000000</v>
      </c>
      <c r="I2503" t="s">
        <v>35</v>
      </c>
      <c r="J2503"/>
      <c r="K2503">
        <v>64.59</v>
      </c>
      <c r="L2503">
        <v>0.0</v>
      </c>
      <c r="M2503"/>
      <c r="N2503"/>
      <c r="O2503">
        <v>11.63</v>
      </c>
      <c r="P2503">
        <v>0.4</v>
      </c>
      <c r="Q2503">
        <v>76.62</v>
      </c>
      <c r="R2503"/>
      <c r="S2503"/>
      <c r="T2503"/>
      <c r="U2503"/>
      <c r="V2503"/>
      <c r="W2503">
        <v>18</v>
      </c>
    </row>
    <row r="2504" spans="1:23">
      <c r="A2504"/>
      <c r="B2504" t="s">
        <v>72</v>
      </c>
      <c r="C2504" t="s">
        <v>72</v>
      </c>
      <c r="D2504" t="s">
        <v>33</v>
      </c>
      <c r="E2504" t="s">
        <v>34</v>
      </c>
      <c r="F2504" t="str">
        <f>"0002811"</f>
        <v>0002811</v>
      </c>
      <c r="G2504">
        <v>1</v>
      </c>
      <c r="H2504" t="str">
        <f>"00000000"</f>
        <v>00000000</v>
      </c>
      <c r="I2504" t="s">
        <v>35</v>
      </c>
      <c r="J2504"/>
      <c r="K2504">
        <v>10.18</v>
      </c>
      <c r="L2504">
        <v>0.0</v>
      </c>
      <c r="M2504"/>
      <c r="N2504"/>
      <c r="O2504">
        <v>1.83</v>
      </c>
      <c r="P2504">
        <v>0.0</v>
      </c>
      <c r="Q2504">
        <v>12.02</v>
      </c>
      <c r="R2504"/>
      <c r="S2504"/>
      <c r="T2504"/>
      <c r="U2504"/>
      <c r="V2504"/>
      <c r="W2504">
        <v>18</v>
      </c>
    </row>
    <row r="2505" spans="1:23">
      <c r="A2505"/>
      <c r="B2505" t="s">
        <v>72</v>
      </c>
      <c r="C2505" t="s">
        <v>72</v>
      </c>
      <c r="D2505" t="s">
        <v>33</v>
      </c>
      <c r="E2505" t="s">
        <v>34</v>
      </c>
      <c r="F2505" t="str">
        <f>"0002812"</f>
        <v>0002812</v>
      </c>
      <c r="G2505">
        <v>1</v>
      </c>
      <c r="H2505" t="str">
        <f>"00000000"</f>
        <v>00000000</v>
      </c>
      <c r="I2505" t="s">
        <v>35</v>
      </c>
      <c r="J2505"/>
      <c r="K2505">
        <v>1.69</v>
      </c>
      <c r="L2505">
        <v>0.0</v>
      </c>
      <c r="M2505"/>
      <c r="N2505"/>
      <c r="O2505">
        <v>0.31</v>
      </c>
      <c r="P2505">
        <v>0.0</v>
      </c>
      <c r="Q2505">
        <v>2.0</v>
      </c>
      <c r="R2505"/>
      <c r="S2505"/>
      <c r="T2505"/>
      <c r="U2505"/>
      <c r="V2505"/>
      <c r="W2505">
        <v>18</v>
      </c>
    </row>
    <row r="2506" spans="1:23">
      <c r="A2506"/>
      <c r="B2506" t="s">
        <v>72</v>
      </c>
      <c r="C2506" t="s">
        <v>72</v>
      </c>
      <c r="D2506" t="s">
        <v>33</v>
      </c>
      <c r="E2506" t="s">
        <v>34</v>
      </c>
      <c r="F2506" t="str">
        <f>"0002813"</f>
        <v>0002813</v>
      </c>
      <c r="G2506">
        <v>1</v>
      </c>
      <c r="H2506" t="str">
        <f>"00000000"</f>
        <v>00000000</v>
      </c>
      <c r="I2506" t="s">
        <v>35</v>
      </c>
      <c r="J2506"/>
      <c r="K2506">
        <v>6.5</v>
      </c>
      <c r="L2506">
        <v>0.0</v>
      </c>
      <c r="M2506"/>
      <c r="N2506"/>
      <c r="O2506">
        <v>1.17</v>
      </c>
      <c r="P2506">
        <v>0.0</v>
      </c>
      <c r="Q2506">
        <v>7.67</v>
      </c>
      <c r="R2506"/>
      <c r="S2506"/>
      <c r="T2506"/>
      <c r="U2506"/>
      <c r="V2506"/>
      <c r="W2506">
        <v>18</v>
      </c>
    </row>
    <row r="2507" spans="1:23">
      <c r="A2507"/>
      <c r="B2507" t="s">
        <v>72</v>
      </c>
      <c r="C2507" t="s">
        <v>72</v>
      </c>
      <c r="D2507" t="s">
        <v>33</v>
      </c>
      <c r="E2507" t="s">
        <v>34</v>
      </c>
      <c r="F2507" t="str">
        <f>"0002814"</f>
        <v>0002814</v>
      </c>
      <c r="G2507">
        <v>1</v>
      </c>
      <c r="H2507" t="str">
        <f>"00000000"</f>
        <v>00000000</v>
      </c>
      <c r="I2507" t="s">
        <v>35</v>
      </c>
      <c r="J2507"/>
      <c r="K2507">
        <v>5.36</v>
      </c>
      <c r="L2507">
        <v>0.0</v>
      </c>
      <c r="M2507"/>
      <c r="N2507"/>
      <c r="O2507">
        <v>0.96</v>
      </c>
      <c r="P2507">
        <v>0.2</v>
      </c>
      <c r="Q2507">
        <v>6.52</v>
      </c>
      <c r="R2507"/>
      <c r="S2507"/>
      <c r="T2507"/>
      <c r="U2507"/>
      <c r="V2507"/>
      <c r="W2507">
        <v>18</v>
      </c>
    </row>
    <row r="2508" spans="1:23">
      <c r="A2508"/>
      <c r="B2508" t="s">
        <v>72</v>
      </c>
      <c r="C2508" t="s">
        <v>72</v>
      </c>
      <c r="D2508" t="s">
        <v>33</v>
      </c>
      <c r="E2508" t="s">
        <v>34</v>
      </c>
      <c r="F2508" t="str">
        <f>"0002815"</f>
        <v>0002815</v>
      </c>
      <c r="G2508">
        <v>1</v>
      </c>
      <c r="H2508" t="str">
        <f>"00000000"</f>
        <v>00000000</v>
      </c>
      <c r="I2508" t="s">
        <v>35</v>
      </c>
      <c r="J2508"/>
      <c r="K2508">
        <v>25.34</v>
      </c>
      <c r="L2508">
        <v>0.0</v>
      </c>
      <c r="M2508"/>
      <c r="N2508"/>
      <c r="O2508">
        <v>4.56</v>
      </c>
      <c r="P2508">
        <v>0.0</v>
      </c>
      <c r="Q2508">
        <v>29.9</v>
      </c>
      <c r="R2508"/>
      <c r="S2508"/>
      <c r="T2508"/>
      <c r="U2508"/>
      <c r="V2508"/>
      <c r="W2508">
        <v>18</v>
      </c>
    </row>
    <row r="2509" spans="1:23">
      <c r="A2509"/>
      <c r="B2509" t="s">
        <v>72</v>
      </c>
      <c r="C2509" t="s">
        <v>72</v>
      </c>
      <c r="D2509" t="s">
        <v>33</v>
      </c>
      <c r="E2509" t="s">
        <v>34</v>
      </c>
      <c r="F2509" t="str">
        <f>"0002816"</f>
        <v>0002816</v>
      </c>
      <c r="G2509">
        <v>1</v>
      </c>
      <c r="H2509" t="str">
        <f>"00000000"</f>
        <v>00000000</v>
      </c>
      <c r="I2509" t="s">
        <v>35</v>
      </c>
      <c r="J2509"/>
      <c r="K2509">
        <v>6.78</v>
      </c>
      <c r="L2509">
        <v>0.0</v>
      </c>
      <c r="M2509"/>
      <c r="N2509"/>
      <c r="O2509">
        <v>1.22</v>
      </c>
      <c r="P2509">
        <v>0.0</v>
      </c>
      <c r="Q2509">
        <v>8.0</v>
      </c>
      <c r="R2509"/>
      <c r="S2509"/>
      <c r="T2509"/>
      <c r="U2509"/>
      <c r="V2509"/>
      <c r="W2509">
        <v>18</v>
      </c>
    </row>
    <row r="2510" spans="1:23">
      <c r="A2510"/>
      <c r="B2510" t="s">
        <v>72</v>
      </c>
      <c r="C2510" t="s">
        <v>72</v>
      </c>
      <c r="D2510" t="s">
        <v>33</v>
      </c>
      <c r="E2510" t="s">
        <v>34</v>
      </c>
      <c r="F2510" t="str">
        <f>"0002817"</f>
        <v>0002817</v>
      </c>
      <c r="G2510">
        <v>1</v>
      </c>
      <c r="H2510" t="str">
        <f>"00000000"</f>
        <v>00000000</v>
      </c>
      <c r="I2510" t="s">
        <v>35</v>
      </c>
      <c r="J2510"/>
      <c r="K2510">
        <v>12.97</v>
      </c>
      <c r="L2510">
        <v>0.0</v>
      </c>
      <c r="M2510"/>
      <c r="N2510"/>
      <c r="O2510">
        <v>2.33</v>
      </c>
      <c r="P2510">
        <v>0.0</v>
      </c>
      <c r="Q2510">
        <v>15.3</v>
      </c>
      <c r="R2510"/>
      <c r="S2510"/>
      <c r="T2510"/>
      <c r="U2510"/>
      <c r="V2510"/>
      <c r="W2510">
        <v>18</v>
      </c>
    </row>
    <row r="2511" spans="1:23">
      <c r="A2511"/>
      <c r="B2511" t="s">
        <v>72</v>
      </c>
      <c r="C2511" t="s">
        <v>72</v>
      </c>
      <c r="D2511" t="s">
        <v>33</v>
      </c>
      <c r="E2511" t="s">
        <v>34</v>
      </c>
      <c r="F2511" t="str">
        <f>"0002818"</f>
        <v>0002818</v>
      </c>
      <c r="G2511">
        <v>1</v>
      </c>
      <c r="H2511" t="str">
        <f>"00000000"</f>
        <v>00000000</v>
      </c>
      <c r="I2511" t="s">
        <v>35</v>
      </c>
      <c r="J2511"/>
      <c r="K2511">
        <v>1.23</v>
      </c>
      <c r="L2511">
        <v>0.0</v>
      </c>
      <c r="M2511"/>
      <c r="N2511"/>
      <c r="O2511">
        <v>0.22</v>
      </c>
      <c r="P2511">
        <v>0.2</v>
      </c>
      <c r="Q2511">
        <v>1.65</v>
      </c>
      <c r="R2511"/>
      <c r="S2511"/>
      <c r="T2511"/>
      <c r="U2511"/>
      <c r="V2511"/>
      <c r="W2511">
        <v>18</v>
      </c>
    </row>
    <row r="2512" spans="1:23">
      <c r="A2512"/>
      <c r="B2512" t="s">
        <v>72</v>
      </c>
      <c r="C2512" t="s">
        <v>72</v>
      </c>
      <c r="D2512" t="s">
        <v>33</v>
      </c>
      <c r="E2512" t="s">
        <v>34</v>
      </c>
      <c r="F2512" t="str">
        <f>"0002819"</f>
        <v>0002819</v>
      </c>
      <c r="G2512">
        <v>1</v>
      </c>
      <c r="H2512" t="str">
        <f>"00000000"</f>
        <v>00000000</v>
      </c>
      <c r="I2512" t="s">
        <v>35</v>
      </c>
      <c r="J2512"/>
      <c r="K2512">
        <v>10.34</v>
      </c>
      <c r="L2512">
        <v>0.0</v>
      </c>
      <c r="M2512"/>
      <c r="N2512"/>
      <c r="O2512">
        <v>1.86</v>
      </c>
      <c r="P2512">
        <v>0.0</v>
      </c>
      <c r="Q2512">
        <v>12.2</v>
      </c>
      <c r="R2512"/>
      <c r="S2512"/>
      <c r="T2512"/>
      <c r="U2512"/>
      <c r="V2512"/>
      <c r="W2512">
        <v>18</v>
      </c>
    </row>
    <row r="2513" spans="1:23">
      <c r="A2513"/>
      <c r="B2513" t="s">
        <v>72</v>
      </c>
      <c r="C2513" t="s">
        <v>72</v>
      </c>
      <c r="D2513" t="s">
        <v>33</v>
      </c>
      <c r="E2513" t="s">
        <v>34</v>
      </c>
      <c r="F2513" t="str">
        <f>"0002820"</f>
        <v>0002820</v>
      </c>
      <c r="G2513">
        <v>1</v>
      </c>
      <c r="H2513" t="str">
        <f>"00000000"</f>
        <v>00000000</v>
      </c>
      <c r="I2513" t="s">
        <v>35</v>
      </c>
      <c r="J2513"/>
      <c r="K2513">
        <v>9.66</v>
      </c>
      <c r="L2513">
        <v>0.0</v>
      </c>
      <c r="M2513"/>
      <c r="N2513"/>
      <c r="O2513">
        <v>1.74</v>
      </c>
      <c r="P2513">
        <v>0.0</v>
      </c>
      <c r="Q2513">
        <v>11.4</v>
      </c>
      <c r="R2513"/>
      <c r="S2513"/>
      <c r="T2513"/>
      <c r="U2513"/>
      <c r="V2513"/>
      <c r="W2513">
        <v>18</v>
      </c>
    </row>
    <row r="2514" spans="1:23">
      <c r="A2514"/>
      <c r="B2514" t="s">
        <v>72</v>
      </c>
      <c r="C2514" t="s">
        <v>72</v>
      </c>
      <c r="D2514" t="s">
        <v>33</v>
      </c>
      <c r="E2514" t="s">
        <v>34</v>
      </c>
      <c r="F2514" t="str">
        <f>"0002821"</f>
        <v>0002821</v>
      </c>
      <c r="G2514">
        <v>1</v>
      </c>
      <c r="H2514" t="str">
        <f>"00000000"</f>
        <v>00000000</v>
      </c>
      <c r="I2514" t="s">
        <v>35</v>
      </c>
      <c r="J2514"/>
      <c r="K2514">
        <v>0.02</v>
      </c>
      <c r="L2514">
        <v>0.0</v>
      </c>
      <c r="M2514"/>
      <c r="N2514"/>
      <c r="O2514">
        <v>0.0</v>
      </c>
      <c r="P2514">
        <v>0.2</v>
      </c>
      <c r="Q2514">
        <v>0.22</v>
      </c>
      <c r="R2514"/>
      <c r="S2514"/>
      <c r="T2514"/>
      <c r="U2514"/>
      <c r="V2514"/>
      <c r="W2514">
        <v>18</v>
      </c>
    </row>
    <row r="2515" spans="1:23">
      <c r="A2515"/>
      <c r="B2515" t="s">
        <v>72</v>
      </c>
      <c r="C2515" t="s">
        <v>72</v>
      </c>
      <c r="D2515" t="s">
        <v>33</v>
      </c>
      <c r="E2515" t="s">
        <v>34</v>
      </c>
      <c r="F2515" t="str">
        <f>"0002822"</f>
        <v>0002822</v>
      </c>
      <c r="G2515">
        <v>1</v>
      </c>
      <c r="H2515" t="str">
        <f>"00000000"</f>
        <v>00000000</v>
      </c>
      <c r="I2515" t="s">
        <v>35</v>
      </c>
      <c r="J2515"/>
      <c r="K2515">
        <v>3.81</v>
      </c>
      <c r="L2515">
        <v>0.0</v>
      </c>
      <c r="M2515"/>
      <c r="N2515"/>
      <c r="O2515">
        <v>0.69</v>
      </c>
      <c r="P2515">
        <v>0.0</v>
      </c>
      <c r="Q2515">
        <v>4.5</v>
      </c>
      <c r="R2515"/>
      <c r="S2515"/>
      <c r="T2515"/>
      <c r="U2515"/>
      <c r="V2515"/>
      <c r="W2515">
        <v>18</v>
      </c>
    </row>
    <row r="2516" spans="1:23">
      <c r="A2516"/>
      <c r="B2516" t="s">
        <v>72</v>
      </c>
      <c r="C2516" t="s">
        <v>72</v>
      </c>
      <c r="D2516" t="s">
        <v>33</v>
      </c>
      <c r="E2516" t="s">
        <v>34</v>
      </c>
      <c r="F2516" t="str">
        <f>"0002823"</f>
        <v>0002823</v>
      </c>
      <c r="G2516">
        <v>1</v>
      </c>
      <c r="H2516" t="str">
        <f>"00000000"</f>
        <v>00000000</v>
      </c>
      <c r="I2516" t="s">
        <v>35</v>
      </c>
      <c r="J2516"/>
      <c r="K2516">
        <v>56.81</v>
      </c>
      <c r="L2516">
        <v>0.0</v>
      </c>
      <c r="M2516"/>
      <c r="N2516"/>
      <c r="O2516">
        <v>10.22</v>
      </c>
      <c r="P2516">
        <v>0.4</v>
      </c>
      <c r="Q2516">
        <v>67.43</v>
      </c>
      <c r="R2516"/>
      <c r="S2516"/>
      <c r="T2516"/>
      <c r="U2516"/>
      <c r="V2516"/>
      <c r="W2516">
        <v>18</v>
      </c>
    </row>
    <row r="2517" spans="1:23">
      <c r="A2517"/>
      <c r="B2517" t="s">
        <v>72</v>
      </c>
      <c r="C2517" t="s">
        <v>72</v>
      </c>
      <c r="D2517" t="s">
        <v>33</v>
      </c>
      <c r="E2517" t="s">
        <v>34</v>
      </c>
      <c r="F2517" t="str">
        <f>"0002824"</f>
        <v>0002824</v>
      </c>
      <c r="G2517">
        <v>1</v>
      </c>
      <c r="H2517" t="str">
        <f>"00000000"</f>
        <v>00000000</v>
      </c>
      <c r="I2517" t="s">
        <v>35</v>
      </c>
      <c r="J2517"/>
      <c r="K2517">
        <v>9.04</v>
      </c>
      <c r="L2517">
        <v>0.0</v>
      </c>
      <c r="M2517"/>
      <c r="N2517"/>
      <c r="O2517">
        <v>1.63</v>
      </c>
      <c r="P2517">
        <v>0.2</v>
      </c>
      <c r="Q2517">
        <v>10.87</v>
      </c>
      <c r="R2517"/>
      <c r="S2517"/>
      <c r="T2517"/>
      <c r="U2517"/>
      <c r="V2517"/>
      <c r="W2517">
        <v>18</v>
      </c>
    </row>
    <row r="2518" spans="1:23">
      <c r="A2518"/>
      <c r="B2518" t="s">
        <v>72</v>
      </c>
      <c r="C2518" t="s">
        <v>72</v>
      </c>
      <c r="D2518" t="s">
        <v>33</v>
      </c>
      <c r="E2518" t="s">
        <v>34</v>
      </c>
      <c r="F2518" t="str">
        <f>"0002825"</f>
        <v>0002825</v>
      </c>
      <c r="G2518">
        <v>1</v>
      </c>
      <c r="H2518" t="str">
        <f>"00000000"</f>
        <v>00000000</v>
      </c>
      <c r="I2518" t="s">
        <v>35</v>
      </c>
      <c r="J2518"/>
      <c r="K2518">
        <v>7.47</v>
      </c>
      <c r="L2518">
        <v>0.0</v>
      </c>
      <c r="M2518"/>
      <c r="N2518"/>
      <c r="O2518">
        <v>1.35</v>
      </c>
      <c r="P2518">
        <v>0.0</v>
      </c>
      <c r="Q2518">
        <v>8.82</v>
      </c>
      <c r="R2518"/>
      <c r="S2518"/>
      <c r="T2518"/>
      <c r="U2518"/>
      <c r="V2518"/>
      <c r="W2518">
        <v>18</v>
      </c>
    </row>
    <row r="2519" spans="1:23">
      <c r="A2519"/>
      <c r="B2519" t="s">
        <v>72</v>
      </c>
      <c r="C2519" t="s">
        <v>72</v>
      </c>
      <c r="D2519" t="s">
        <v>33</v>
      </c>
      <c r="E2519" t="s">
        <v>34</v>
      </c>
      <c r="F2519" t="str">
        <f>"0002826"</f>
        <v>0002826</v>
      </c>
      <c r="G2519">
        <v>1</v>
      </c>
      <c r="H2519" t="str">
        <f>"00000000"</f>
        <v>00000000</v>
      </c>
      <c r="I2519" t="s">
        <v>35</v>
      </c>
      <c r="J2519"/>
      <c r="K2519">
        <v>19.2</v>
      </c>
      <c r="L2519">
        <v>0.0</v>
      </c>
      <c r="M2519"/>
      <c r="N2519"/>
      <c r="O2519">
        <v>3.46</v>
      </c>
      <c r="P2519">
        <v>0.0</v>
      </c>
      <c r="Q2519">
        <v>22.66</v>
      </c>
      <c r="R2519"/>
      <c r="S2519"/>
      <c r="T2519"/>
      <c r="U2519"/>
      <c r="V2519"/>
      <c r="W2519">
        <v>18</v>
      </c>
    </row>
    <row r="2520" spans="1:23">
      <c r="A2520"/>
      <c r="B2520" t="s">
        <v>72</v>
      </c>
      <c r="C2520" t="s">
        <v>72</v>
      </c>
      <c r="D2520" t="s">
        <v>33</v>
      </c>
      <c r="E2520" t="s">
        <v>34</v>
      </c>
      <c r="F2520" t="str">
        <f>"0002827"</f>
        <v>0002827</v>
      </c>
      <c r="G2520">
        <v>1</v>
      </c>
      <c r="H2520" t="str">
        <f>"00000000"</f>
        <v>00000000</v>
      </c>
      <c r="I2520" t="s">
        <v>35</v>
      </c>
      <c r="J2520"/>
      <c r="K2520">
        <v>12.98</v>
      </c>
      <c r="L2520">
        <v>0.0</v>
      </c>
      <c r="M2520"/>
      <c r="N2520"/>
      <c r="O2520">
        <v>2.34</v>
      </c>
      <c r="P2520">
        <v>0.2</v>
      </c>
      <c r="Q2520">
        <v>15.52</v>
      </c>
      <c r="R2520"/>
      <c r="S2520"/>
      <c r="T2520"/>
      <c r="U2520"/>
      <c r="V2520"/>
      <c r="W2520">
        <v>18</v>
      </c>
    </row>
    <row r="2521" spans="1:23">
      <c r="A2521"/>
      <c r="B2521" t="s">
        <v>72</v>
      </c>
      <c r="C2521" t="s">
        <v>72</v>
      </c>
      <c r="D2521" t="s">
        <v>33</v>
      </c>
      <c r="E2521" t="s">
        <v>34</v>
      </c>
      <c r="F2521" t="str">
        <f>"0002828"</f>
        <v>0002828</v>
      </c>
      <c r="G2521">
        <v>1</v>
      </c>
      <c r="H2521" t="str">
        <f>"00000000"</f>
        <v>00000000</v>
      </c>
      <c r="I2521" t="s">
        <v>35</v>
      </c>
      <c r="J2521"/>
      <c r="K2521">
        <v>27.19</v>
      </c>
      <c r="L2521">
        <v>0.0</v>
      </c>
      <c r="M2521"/>
      <c r="N2521"/>
      <c r="O2521">
        <v>4.89</v>
      </c>
      <c r="P2521">
        <v>0.0</v>
      </c>
      <c r="Q2521">
        <v>32.09</v>
      </c>
      <c r="R2521"/>
      <c r="S2521"/>
      <c r="T2521"/>
      <c r="U2521"/>
      <c r="V2521"/>
      <c r="W2521">
        <v>18</v>
      </c>
    </row>
    <row r="2522" spans="1:23">
      <c r="A2522"/>
      <c r="B2522" t="s">
        <v>72</v>
      </c>
      <c r="C2522" t="s">
        <v>72</v>
      </c>
      <c r="D2522" t="s">
        <v>33</v>
      </c>
      <c r="E2522" t="s">
        <v>34</v>
      </c>
      <c r="F2522" t="str">
        <f>"0002829"</f>
        <v>0002829</v>
      </c>
      <c r="G2522">
        <v>1</v>
      </c>
      <c r="H2522" t="str">
        <f>"00000000"</f>
        <v>00000000</v>
      </c>
      <c r="I2522" t="s">
        <v>35</v>
      </c>
      <c r="J2522"/>
      <c r="K2522">
        <v>2.12</v>
      </c>
      <c r="L2522">
        <v>0.0</v>
      </c>
      <c r="M2522"/>
      <c r="N2522"/>
      <c r="O2522">
        <v>0.38</v>
      </c>
      <c r="P2522">
        <v>0.0</v>
      </c>
      <c r="Q2522">
        <v>2.5</v>
      </c>
      <c r="R2522"/>
      <c r="S2522"/>
      <c r="T2522"/>
      <c r="U2522"/>
      <c r="V2522"/>
      <c r="W2522">
        <v>18</v>
      </c>
    </row>
    <row r="2523" spans="1:23">
      <c r="A2523"/>
      <c r="B2523" t="s">
        <v>72</v>
      </c>
      <c r="C2523" t="s">
        <v>72</v>
      </c>
      <c r="D2523" t="s">
        <v>33</v>
      </c>
      <c r="E2523" t="s">
        <v>34</v>
      </c>
      <c r="F2523" t="str">
        <f>"0002830"</f>
        <v>0002830</v>
      </c>
      <c r="G2523">
        <v>1</v>
      </c>
      <c r="H2523" t="str">
        <f>"00000000"</f>
        <v>00000000</v>
      </c>
      <c r="I2523" t="s">
        <v>35</v>
      </c>
      <c r="J2523"/>
      <c r="K2523">
        <v>3.22</v>
      </c>
      <c r="L2523">
        <v>0.0</v>
      </c>
      <c r="M2523"/>
      <c r="N2523"/>
      <c r="O2523">
        <v>0.58</v>
      </c>
      <c r="P2523">
        <v>0.0</v>
      </c>
      <c r="Q2523">
        <v>3.8</v>
      </c>
      <c r="R2523"/>
      <c r="S2523"/>
      <c r="T2523"/>
      <c r="U2523"/>
      <c r="V2523"/>
      <c r="W2523">
        <v>18</v>
      </c>
    </row>
    <row r="2524" spans="1:23">
      <c r="A2524"/>
      <c r="B2524" t="s">
        <v>72</v>
      </c>
      <c r="C2524" t="s">
        <v>72</v>
      </c>
      <c r="D2524" t="s">
        <v>33</v>
      </c>
      <c r="E2524" t="s">
        <v>34</v>
      </c>
      <c r="F2524" t="str">
        <f>"0002831"</f>
        <v>0002831</v>
      </c>
      <c r="G2524">
        <v>1</v>
      </c>
      <c r="H2524" t="str">
        <f>"00000000"</f>
        <v>00000000</v>
      </c>
      <c r="I2524" t="s">
        <v>35</v>
      </c>
      <c r="J2524"/>
      <c r="K2524">
        <v>5.08</v>
      </c>
      <c r="L2524">
        <v>0.0</v>
      </c>
      <c r="M2524"/>
      <c r="N2524"/>
      <c r="O2524">
        <v>0.92</v>
      </c>
      <c r="P2524">
        <v>0.0</v>
      </c>
      <c r="Q2524">
        <v>6.0</v>
      </c>
      <c r="R2524"/>
      <c r="S2524"/>
      <c r="T2524"/>
      <c r="U2524"/>
      <c r="V2524"/>
      <c r="W2524">
        <v>18</v>
      </c>
    </row>
    <row r="2525" spans="1:23">
      <c r="A2525"/>
      <c r="B2525" t="s">
        <v>72</v>
      </c>
      <c r="C2525" t="s">
        <v>72</v>
      </c>
      <c r="D2525" t="s">
        <v>33</v>
      </c>
      <c r="E2525" t="s">
        <v>34</v>
      </c>
      <c r="F2525" t="str">
        <f>"0002832"</f>
        <v>0002832</v>
      </c>
      <c r="G2525">
        <v>1</v>
      </c>
      <c r="H2525" t="str">
        <f>"00000000"</f>
        <v>00000000</v>
      </c>
      <c r="I2525" t="s">
        <v>35</v>
      </c>
      <c r="J2525"/>
      <c r="K2525">
        <v>2.53</v>
      </c>
      <c r="L2525">
        <v>0.0</v>
      </c>
      <c r="M2525"/>
      <c r="N2525"/>
      <c r="O2525">
        <v>0.46</v>
      </c>
      <c r="P2525">
        <v>0.0</v>
      </c>
      <c r="Q2525">
        <v>2.99</v>
      </c>
      <c r="R2525"/>
      <c r="S2525"/>
      <c r="T2525"/>
      <c r="U2525"/>
      <c r="V2525"/>
      <c r="W2525">
        <v>18</v>
      </c>
    </row>
    <row r="2526" spans="1:23">
      <c r="A2526"/>
      <c r="B2526" t="s">
        <v>72</v>
      </c>
      <c r="C2526" t="s">
        <v>72</v>
      </c>
      <c r="D2526" t="s">
        <v>33</v>
      </c>
      <c r="E2526" t="s">
        <v>34</v>
      </c>
      <c r="F2526" t="str">
        <f>"0002833"</f>
        <v>0002833</v>
      </c>
      <c r="G2526">
        <v>1</v>
      </c>
      <c r="H2526" t="str">
        <f>"00000000"</f>
        <v>00000000</v>
      </c>
      <c r="I2526" t="s">
        <v>35</v>
      </c>
      <c r="J2526"/>
      <c r="K2526">
        <v>53.41</v>
      </c>
      <c r="L2526">
        <v>0.0</v>
      </c>
      <c r="M2526"/>
      <c r="N2526"/>
      <c r="O2526">
        <v>9.61</v>
      </c>
      <c r="P2526">
        <v>0.2</v>
      </c>
      <c r="Q2526">
        <v>63.22</v>
      </c>
      <c r="R2526"/>
      <c r="S2526"/>
      <c r="T2526"/>
      <c r="U2526"/>
      <c r="V2526"/>
      <c r="W2526">
        <v>18</v>
      </c>
    </row>
    <row r="2527" spans="1:23">
      <c r="A2527"/>
      <c r="B2527" t="s">
        <v>72</v>
      </c>
      <c r="C2527" t="s">
        <v>72</v>
      </c>
      <c r="D2527" t="s">
        <v>33</v>
      </c>
      <c r="E2527" t="s">
        <v>34</v>
      </c>
      <c r="F2527" t="str">
        <f>"0002834"</f>
        <v>0002834</v>
      </c>
      <c r="G2527">
        <v>1</v>
      </c>
      <c r="H2527" t="str">
        <f>"00000000"</f>
        <v>00000000</v>
      </c>
      <c r="I2527" t="s">
        <v>35</v>
      </c>
      <c r="J2527"/>
      <c r="K2527">
        <v>27.38</v>
      </c>
      <c r="L2527">
        <v>0.0</v>
      </c>
      <c r="M2527"/>
      <c r="N2527"/>
      <c r="O2527">
        <v>4.93</v>
      </c>
      <c r="P2527">
        <v>0.2</v>
      </c>
      <c r="Q2527">
        <v>32.51</v>
      </c>
      <c r="R2527"/>
      <c r="S2527"/>
      <c r="T2527"/>
      <c r="U2527"/>
      <c r="V2527"/>
      <c r="W2527">
        <v>18</v>
      </c>
    </row>
    <row r="2528" spans="1:23">
      <c r="A2528"/>
      <c r="B2528" t="s">
        <v>72</v>
      </c>
      <c r="C2528" t="s">
        <v>72</v>
      </c>
      <c r="D2528" t="s">
        <v>33</v>
      </c>
      <c r="E2528" t="s">
        <v>34</v>
      </c>
      <c r="F2528" t="str">
        <f>"0002835"</f>
        <v>0002835</v>
      </c>
      <c r="G2528">
        <v>1</v>
      </c>
      <c r="H2528" t="str">
        <f>"00000000"</f>
        <v>00000000</v>
      </c>
      <c r="I2528" t="s">
        <v>35</v>
      </c>
      <c r="J2528"/>
      <c r="K2528">
        <v>1.86</v>
      </c>
      <c r="L2528">
        <v>0.0</v>
      </c>
      <c r="M2528"/>
      <c r="N2528"/>
      <c r="O2528">
        <v>0.34</v>
      </c>
      <c r="P2528">
        <v>0.0</v>
      </c>
      <c r="Q2528">
        <v>2.2</v>
      </c>
      <c r="R2528"/>
      <c r="S2528"/>
      <c r="T2528"/>
      <c r="U2528"/>
      <c r="V2528"/>
      <c r="W2528">
        <v>18</v>
      </c>
    </row>
    <row r="2529" spans="1:23">
      <c r="A2529"/>
      <c r="B2529" t="s">
        <v>72</v>
      </c>
      <c r="C2529" t="s">
        <v>72</v>
      </c>
      <c r="D2529" t="s">
        <v>33</v>
      </c>
      <c r="E2529" t="s">
        <v>34</v>
      </c>
      <c r="F2529" t="str">
        <f>"0002836"</f>
        <v>0002836</v>
      </c>
      <c r="G2529">
        <v>1</v>
      </c>
      <c r="H2529" t="str">
        <f>"00000000"</f>
        <v>00000000</v>
      </c>
      <c r="I2529" t="s">
        <v>35</v>
      </c>
      <c r="J2529"/>
      <c r="K2529">
        <v>1.69</v>
      </c>
      <c r="L2529">
        <v>0.0</v>
      </c>
      <c r="M2529"/>
      <c r="N2529"/>
      <c r="O2529">
        <v>0.31</v>
      </c>
      <c r="P2529">
        <v>0.0</v>
      </c>
      <c r="Q2529">
        <v>2.0</v>
      </c>
      <c r="R2529"/>
      <c r="S2529"/>
      <c r="T2529"/>
      <c r="U2529"/>
      <c r="V2529"/>
      <c r="W2529">
        <v>18</v>
      </c>
    </row>
    <row r="2530" spans="1:23">
      <c r="A2530"/>
      <c r="B2530" t="s">
        <v>72</v>
      </c>
      <c r="C2530" t="s">
        <v>72</v>
      </c>
      <c r="D2530" t="s">
        <v>33</v>
      </c>
      <c r="E2530" t="s">
        <v>34</v>
      </c>
      <c r="F2530" t="str">
        <f>"0002837"</f>
        <v>0002837</v>
      </c>
      <c r="G2530">
        <v>1</v>
      </c>
      <c r="H2530" t="str">
        <f>"00000000"</f>
        <v>00000000</v>
      </c>
      <c r="I2530" t="s">
        <v>35</v>
      </c>
      <c r="J2530"/>
      <c r="K2530">
        <v>11.56</v>
      </c>
      <c r="L2530">
        <v>0.0</v>
      </c>
      <c r="M2530"/>
      <c r="N2530"/>
      <c r="O2530">
        <v>2.08</v>
      </c>
      <c r="P2530">
        <v>0.2</v>
      </c>
      <c r="Q2530">
        <v>13.84</v>
      </c>
      <c r="R2530"/>
      <c r="S2530"/>
      <c r="T2530"/>
      <c r="U2530"/>
      <c r="V2530"/>
      <c r="W2530">
        <v>18</v>
      </c>
    </row>
    <row r="2531" spans="1:23">
      <c r="A2531"/>
      <c r="B2531" t="s">
        <v>72</v>
      </c>
      <c r="C2531" t="s">
        <v>72</v>
      </c>
      <c r="D2531" t="s">
        <v>33</v>
      </c>
      <c r="E2531" t="s">
        <v>34</v>
      </c>
      <c r="F2531" t="str">
        <f>"0002838"</f>
        <v>0002838</v>
      </c>
      <c r="G2531">
        <v>1</v>
      </c>
      <c r="H2531" t="str">
        <f>"00000000"</f>
        <v>00000000</v>
      </c>
      <c r="I2531" t="s">
        <v>35</v>
      </c>
      <c r="J2531"/>
      <c r="K2531">
        <v>1.86</v>
      </c>
      <c r="L2531">
        <v>0.0</v>
      </c>
      <c r="M2531"/>
      <c r="N2531"/>
      <c r="O2531">
        <v>0.34</v>
      </c>
      <c r="P2531">
        <v>0.0</v>
      </c>
      <c r="Q2531">
        <v>2.2</v>
      </c>
      <c r="R2531"/>
      <c r="S2531"/>
      <c r="T2531"/>
      <c r="U2531"/>
      <c r="V2531"/>
      <c r="W2531">
        <v>18</v>
      </c>
    </row>
    <row r="2532" spans="1:23">
      <c r="A2532"/>
      <c r="B2532" t="s">
        <v>72</v>
      </c>
      <c r="C2532" t="s">
        <v>72</v>
      </c>
      <c r="D2532" t="s">
        <v>33</v>
      </c>
      <c r="E2532" t="s">
        <v>34</v>
      </c>
      <c r="F2532" t="str">
        <f>"0002839"</f>
        <v>0002839</v>
      </c>
      <c r="G2532">
        <v>1</v>
      </c>
      <c r="H2532" t="str">
        <f>"00000000"</f>
        <v>00000000</v>
      </c>
      <c r="I2532" t="s">
        <v>35</v>
      </c>
      <c r="J2532"/>
      <c r="K2532">
        <v>37.97</v>
      </c>
      <c r="L2532">
        <v>0.0</v>
      </c>
      <c r="M2532"/>
      <c r="N2532"/>
      <c r="O2532">
        <v>6.83</v>
      </c>
      <c r="P2532">
        <v>0.0</v>
      </c>
      <c r="Q2532">
        <v>44.8</v>
      </c>
      <c r="R2532"/>
      <c r="S2532"/>
      <c r="T2532"/>
      <c r="U2532"/>
      <c r="V2532"/>
      <c r="W2532">
        <v>18</v>
      </c>
    </row>
    <row r="2533" spans="1:23">
      <c r="A2533"/>
      <c r="B2533" t="s">
        <v>72</v>
      </c>
      <c r="C2533" t="s">
        <v>72</v>
      </c>
      <c r="D2533" t="s">
        <v>33</v>
      </c>
      <c r="E2533" t="s">
        <v>34</v>
      </c>
      <c r="F2533" t="str">
        <f>"0002840"</f>
        <v>0002840</v>
      </c>
      <c r="G2533">
        <v>1</v>
      </c>
      <c r="H2533" t="str">
        <f>"00000000"</f>
        <v>00000000</v>
      </c>
      <c r="I2533" t="s">
        <v>35</v>
      </c>
      <c r="J2533"/>
      <c r="K2533">
        <v>69.39</v>
      </c>
      <c r="L2533">
        <v>0.0</v>
      </c>
      <c r="M2533"/>
      <c r="N2533"/>
      <c r="O2533">
        <v>12.49</v>
      </c>
      <c r="P2533">
        <v>0.4</v>
      </c>
      <c r="Q2533">
        <v>82.28</v>
      </c>
      <c r="R2533"/>
      <c r="S2533"/>
      <c r="T2533"/>
      <c r="U2533"/>
      <c r="V2533"/>
      <c r="W2533">
        <v>18</v>
      </c>
    </row>
    <row r="2534" spans="1:23">
      <c r="A2534"/>
      <c r="B2534" t="s">
        <v>72</v>
      </c>
      <c r="C2534" t="s">
        <v>72</v>
      </c>
      <c r="D2534" t="s">
        <v>33</v>
      </c>
      <c r="E2534" t="s">
        <v>34</v>
      </c>
      <c r="F2534" t="str">
        <f>"0002841"</f>
        <v>0002841</v>
      </c>
      <c r="G2534">
        <v>1</v>
      </c>
      <c r="H2534" t="str">
        <f>"00000000"</f>
        <v>00000000</v>
      </c>
      <c r="I2534" t="s">
        <v>35</v>
      </c>
      <c r="J2534"/>
      <c r="K2534">
        <v>11.36</v>
      </c>
      <c r="L2534">
        <v>0.0</v>
      </c>
      <c r="M2534"/>
      <c r="N2534"/>
      <c r="O2534">
        <v>2.04</v>
      </c>
      <c r="P2534">
        <v>0.0</v>
      </c>
      <c r="Q2534">
        <v>13.4</v>
      </c>
      <c r="R2534"/>
      <c r="S2534"/>
      <c r="T2534"/>
      <c r="U2534"/>
      <c r="V2534"/>
      <c r="W2534">
        <v>18</v>
      </c>
    </row>
    <row r="2535" spans="1:23">
      <c r="A2535"/>
      <c r="B2535" t="s">
        <v>72</v>
      </c>
      <c r="C2535" t="s">
        <v>72</v>
      </c>
      <c r="D2535" t="s">
        <v>33</v>
      </c>
      <c r="E2535" t="s">
        <v>34</v>
      </c>
      <c r="F2535" t="str">
        <f>"0002842"</f>
        <v>0002842</v>
      </c>
      <c r="G2535">
        <v>1</v>
      </c>
      <c r="H2535" t="str">
        <f>"00000000"</f>
        <v>00000000</v>
      </c>
      <c r="I2535" t="s">
        <v>35</v>
      </c>
      <c r="J2535"/>
      <c r="K2535">
        <v>9.75</v>
      </c>
      <c r="L2535">
        <v>0.0</v>
      </c>
      <c r="M2535"/>
      <c r="N2535"/>
      <c r="O2535">
        <v>1.75</v>
      </c>
      <c r="P2535">
        <v>0.0</v>
      </c>
      <c r="Q2535">
        <v>11.5</v>
      </c>
      <c r="R2535"/>
      <c r="S2535"/>
      <c r="T2535"/>
      <c r="U2535"/>
      <c r="V2535"/>
      <c r="W2535">
        <v>18</v>
      </c>
    </row>
    <row r="2536" spans="1:23">
      <c r="A2536"/>
      <c r="B2536" t="s">
        <v>72</v>
      </c>
      <c r="C2536" t="s">
        <v>72</v>
      </c>
      <c r="D2536" t="s">
        <v>33</v>
      </c>
      <c r="E2536" t="s">
        <v>34</v>
      </c>
      <c r="F2536" t="str">
        <f>"0002843"</f>
        <v>0002843</v>
      </c>
      <c r="G2536">
        <v>1</v>
      </c>
      <c r="H2536" t="str">
        <f>"00000000"</f>
        <v>00000000</v>
      </c>
      <c r="I2536" t="s">
        <v>35</v>
      </c>
      <c r="J2536"/>
      <c r="K2536">
        <v>9.54</v>
      </c>
      <c r="L2536">
        <v>0.0</v>
      </c>
      <c r="M2536"/>
      <c r="N2536"/>
      <c r="O2536">
        <v>1.72</v>
      </c>
      <c r="P2536">
        <v>0.2</v>
      </c>
      <c r="Q2536">
        <v>11.46</v>
      </c>
      <c r="R2536"/>
      <c r="S2536"/>
      <c r="T2536"/>
      <c r="U2536"/>
      <c r="V2536"/>
      <c r="W2536">
        <v>18</v>
      </c>
    </row>
    <row r="2537" spans="1:23">
      <c r="A2537"/>
      <c r="B2537" t="s">
        <v>72</v>
      </c>
      <c r="C2537" t="s">
        <v>72</v>
      </c>
      <c r="D2537" t="s">
        <v>33</v>
      </c>
      <c r="E2537" t="s">
        <v>34</v>
      </c>
      <c r="F2537" t="str">
        <f>"0002844"</f>
        <v>0002844</v>
      </c>
      <c r="G2537">
        <v>1</v>
      </c>
      <c r="H2537" t="str">
        <f>"00000000"</f>
        <v>00000000</v>
      </c>
      <c r="I2537" t="s">
        <v>35</v>
      </c>
      <c r="J2537"/>
      <c r="K2537">
        <v>35.86</v>
      </c>
      <c r="L2537">
        <v>0.0</v>
      </c>
      <c r="M2537"/>
      <c r="N2537"/>
      <c r="O2537">
        <v>6.45</v>
      </c>
      <c r="P2537">
        <v>0.0</v>
      </c>
      <c r="Q2537">
        <v>42.31</v>
      </c>
      <c r="R2537"/>
      <c r="S2537"/>
      <c r="T2537"/>
      <c r="U2537"/>
      <c r="V2537"/>
      <c r="W2537">
        <v>18</v>
      </c>
    </row>
    <row r="2538" spans="1:23">
      <c r="A2538"/>
      <c r="B2538" t="s">
        <v>72</v>
      </c>
      <c r="C2538" t="s">
        <v>72</v>
      </c>
      <c r="D2538" t="s">
        <v>33</v>
      </c>
      <c r="E2538" t="s">
        <v>34</v>
      </c>
      <c r="F2538" t="str">
        <f>"0002845"</f>
        <v>0002845</v>
      </c>
      <c r="G2538">
        <v>1</v>
      </c>
      <c r="H2538" t="str">
        <f>"00000000"</f>
        <v>00000000</v>
      </c>
      <c r="I2538" t="s">
        <v>35</v>
      </c>
      <c r="J2538"/>
      <c r="K2538">
        <v>5.0</v>
      </c>
      <c r="L2538">
        <v>0.0</v>
      </c>
      <c r="M2538"/>
      <c r="N2538"/>
      <c r="O2538">
        <v>0.9</v>
      </c>
      <c r="P2538">
        <v>0.0</v>
      </c>
      <c r="Q2538">
        <v>5.9</v>
      </c>
      <c r="R2538"/>
      <c r="S2538"/>
      <c r="T2538"/>
      <c r="U2538"/>
      <c r="V2538"/>
      <c r="W2538">
        <v>18</v>
      </c>
    </row>
    <row r="2539" spans="1:23">
      <c r="A2539"/>
      <c r="B2539" t="s">
        <v>72</v>
      </c>
      <c r="C2539" t="s">
        <v>72</v>
      </c>
      <c r="D2539" t="s">
        <v>33</v>
      </c>
      <c r="E2539" t="s">
        <v>34</v>
      </c>
      <c r="F2539" t="str">
        <f>"0002846"</f>
        <v>0002846</v>
      </c>
      <c r="G2539">
        <v>1</v>
      </c>
      <c r="H2539" t="str">
        <f>"00000000"</f>
        <v>00000000</v>
      </c>
      <c r="I2539" t="s">
        <v>35</v>
      </c>
      <c r="J2539"/>
      <c r="K2539">
        <v>7.89</v>
      </c>
      <c r="L2539">
        <v>0.0</v>
      </c>
      <c r="M2539"/>
      <c r="N2539"/>
      <c r="O2539">
        <v>1.42</v>
      </c>
      <c r="P2539">
        <v>0.2</v>
      </c>
      <c r="Q2539">
        <v>9.5</v>
      </c>
      <c r="R2539"/>
      <c r="S2539"/>
      <c r="T2539"/>
      <c r="U2539"/>
      <c r="V2539"/>
      <c r="W2539">
        <v>18</v>
      </c>
    </row>
    <row r="2540" spans="1:23">
      <c r="A2540"/>
      <c r="B2540" t="s">
        <v>72</v>
      </c>
      <c r="C2540" t="s">
        <v>72</v>
      </c>
      <c r="D2540" t="s">
        <v>33</v>
      </c>
      <c r="E2540" t="s">
        <v>34</v>
      </c>
      <c r="F2540" t="str">
        <f>"0002847"</f>
        <v>0002847</v>
      </c>
      <c r="G2540">
        <v>1</v>
      </c>
      <c r="H2540" t="str">
        <f>"00000000"</f>
        <v>00000000</v>
      </c>
      <c r="I2540" t="s">
        <v>35</v>
      </c>
      <c r="J2540"/>
      <c r="K2540">
        <v>18.63</v>
      </c>
      <c r="L2540">
        <v>0.0</v>
      </c>
      <c r="M2540"/>
      <c r="N2540"/>
      <c r="O2540">
        <v>3.35</v>
      </c>
      <c r="P2540">
        <v>0.2</v>
      </c>
      <c r="Q2540">
        <v>22.18</v>
      </c>
      <c r="R2540"/>
      <c r="S2540"/>
      <c r="T2540"/>
      <c r="U2540"/>
      <c r="V2540"/>
      <c r="W2540">
        <v>18</v>
      </c>
    </row>
    <row r="2541" spans="1:23">
      <c r="A2541"/>
      <c r="B2541" t="s">
        <v>72</v>
      </c>
      <c r="C2541" t="s">
        <v>72</v>
      </c>
      <c r="D2541" t="s">
        <v>33</v>
      </c>
      <c r="E2541" t="s">
        <v>34</v>
      </c>
      <c r="F2541" t="str">
        <f>"0002848"</f>
        <v>0002848</v>
      </c>
      <c r="G2541">
        <v>1</v>
      </c>
      <c r="H2541" t="str">
        <f>"00000000"</f>
        <v>00000000</v>
      </c>
      <c r="I2541" t="s">
        <v>35</v>
      </c>
      <c r="J2541"/>
      <c r="K2541">
        <v>2.5</v>
      </c>
      <c r="L2541">
        <v>0.0</v>
      </c>
      <c r="M2541"/>
      <c r="N2541"/>
      <c r="O2541">
        <v>0.45</v>
      </c>
      <c r="P2541">
        <v>0.0</v>
      </c>
      <c r="Q2541">
        <v>2.95</v>
      </c>
      <c r="R2541"/>
      <c r="S2541"/>
      <c r="T2541"/>
      <c r="U2541"/>
      <c r="V2541"/>
      <c r="W2541">
        <v>18</v>
      </c>
    </row>
    <row r="2542" spans="1:23">
      <c r="A2542"/>
      <c r="B2542" t="s">
        <v>72</v>
      </c>
      <c r="C2542" t="s">
        <v>72</v>
      </c>
      <c r="D2542" t="s">
        <v>33</v>
      </c>
      <c r="E2542" t="s">
        <v>34</v>
      </c>
      <c r="F2542" t="str">
        <f>"0002849"</f>
        <v>0002849</v>
      </c>
      <c r="G2542">
        <v>1</v>
      </c>
      <c r="H2542" t="str">
        <f>"00000000"</f>
        <v>00000000</v>
      </c>
      <c r="I2542" t="s">
        <v>35</v>
      </c>
      <c r="J2542"/>
      <c r="K2542">
        <v>56.15</v>
      </c>
      <c r="L2542">
        <v>0.0</v>
      </c>
      <c r="M2542"/>
      <c r="N2542"/>
      <c r="O2542">
        <v>10.11</v>
      </c>
      <c r="P2542">
        <v>0.0</v>
      </c>
      <c r="Q2542">
        <v>66.25</v>
      </c>
      <c r="R2542"/>
      <c r="S2542"/>
      <c r="T2542"/>
      <c r="U2542"/>
      <c r="V2542"/>
      <c r="W2542">
        <v>18</v>
      </c>
    </row>
    <row r="2543" spans="1:23">
      <c r="A2543"/>
      <c r="B2543" t="s">
        <v>72</v>
      </c>
      <c r="C2543" t="s">
        <v>72</v>
      </c>
      <c r="D2543" t="s">
        <v>33</v>
      </c>
      <c r="E2543" t="s">
        <v>34</v>
      </c>
      <c r="F2543" t="str">
        <f>"0002850"</f>
        <v>0002850</v>
      </c>
      <c r="G2543">
        <v>1</v>
      </c>
      <c r="H2543" t="str">
        <f>"00000000"</f>
        <v>00000000</v>
      </c>
      <c r="I2543" t="s">
        <v>35</v>
      </c>
      <c r="J2543"/>
      <c r="K2543">
        <v>21.69</v>
      </c>
      <c r="L2543">
        <v>0.0</v>
      </c>
      <c r="M2543"/>
      <c r="N2543"/>
      <c r="O2543">
        <v>3.9</v>
      </c>
      <c r="P2543">
        <v>0.0</v>
      </c>
      <c r="Q2543">
        <v>25.6</v>
      </c>
      <c r="R2543"/>
      <c r="S2543"/>
      <c r="T2543"/>
      <c r="U2543"/>
      <c r="V2543"/>
      <c r="W2543">
        <v>18</v>
      </c>
    </row>
    <row r="2544" spans="1:23">
      <c r="A2544"/>
      <c r="B2544" t="s">
        <v>72</v>
      </c>
      <c r="C2544" t="s">
        <v>72</v>
      </c>
      <c r="D2544" t="s">
        <v>33</v>
      </c>
      <c r="E2544" t="s">
        <v>34</v>
      </c>
      <c r="F2544" t="str">
        <f>"0002851"</f>
        <v>0002851</v>
      </c>
      <c r="G2544">
        <v>1</v>
      </c>
      <c r="H2544" t="str">
        <f>"00000000"</f>
        <v>00000000</v>
      </c>
      <c r="I2544" t="s">
        <v>35</v>
      </c>
      <c r="J2544"/>
      <c r="K2544">
        <v>3.6</v>
      </c>
      <c r="L2544">
        <v>0.0</v>
      </c>
      <c r="M2544"/>
      <c r="N2544"/>
      <c r="O2544">
        <v>0.65</v>
      </c>
      <c r="P2544">
        <v>0.0</v>
      </c>
      <c r="Q2544">
        <v>4.25</v>
      </c>
      <c r="R2544"/>
      <c r="S2544"/>
      <c r="T2544"/>
      <c r="U2544"/>
      <c r="V2544"/>
      <c r="W2544">
        <v>18</v>
      </c>
    </row>
    <row r="2545" spans="1:23">
      <c r="A2545"/>
      <c r="B2545" t="s">
        <v>72</v>
      </c>
      <c r="C2545" t="s">
        <v>72</v>
      </c>
      <c r="D2545" t="s">
        <v>33</v>
      </c>
      <c r="E2545" t="s">
        <v>34</v>
      </c>
      <c r="F2545" t="str">
        <f>"0002852"</f>
        <v>0002852</v>
      </c>
      <c r="G2545">
        <v>1</v>
      </c>
      <c r="H2545" t="str">
        <f>"00000000"</f>
        <v>00000000</v>
      </c>
      <c r="I2545" t="s">
        <v>35</v>
      </c>
      <c r="J2545"/>
      <c r="K2545">
        <v>18.64</v>
      </c>
      <c r="L2545">
        <v>0.0</v>
      </c>
      <c r="M2545"/>
      <c r="N2545"/>
      <c r="O2545">
        <v>3.35</v>
      </c>
      <c r="P2545">
        <v>0.2</v>
      </c>
      <c r="Q2545">
        <v>22.19</v>
      </c>
      <c r="R2545"/>
      <c r="S2545"/>
      <c r="T2545"/>
      <c r="U2545"/>
      <c r="V2545"/>
      <c r="W2545">
        <v>18</v>
      </c>
    </row>
    <row r="2546" spans="1:23">
      <c r="A2546"/>
      <c r="B2546" t="s">
        <v>72</v>
      </c>
      <c r="C2546" t="s">
        <v>72</v>
      </c>
      <c r="D2546" t="s">
        <v>33</v>
      </c>
      <c r="E2546" t="s">
        <v>34</v>
      </c>
      <c r="F2546" t="str">
        <f>"0002853"</f>
        <v>0002853</v>
      </c>
      <c r="G2546">
        <v>1</v>
      </c>
      <c r="H2546" t="str">
        <f>"00000000"</f>
        <v>00000000</v>
      </c>
      <c r="I2546" t="s">
        <v>35</v>
      </c>
      <c r="J2546"/>
      <c r="K2546">
        <v>37.42</v>
      </c>
      <c r="L2546">
        <v>0.0</v>
      </c>
      <c r="M2546"/>
      <c r="N2546"/>
      <c r="O2546">
        <v>6.74</v>
      </c>
      <c r="P2546">
        <v>0.2</v>
      </c>
      <c r="Q2546">
        <v>44.35</v>
      </c>
      <c r="R2546"/>
      <c r="S2546"/>
      <c r="T2546"/>
      <c r="U2546"/>
      <c r="V2546"/>
      <c r="W2546">
        <v>18</v>
      </c>
    </row>
    <row r="2547" spans="1:23">
      <c r="A2547"/>
      <c r="B2547" t="s">
        <v>72</v>
      </c>
      <c r="C2547" t="s">
        <v>72</v>
      </c>
      <c r="D2547" t="s">
        <v>33</v>
      </c>
      <c r="E2547" t="s">
        <v>34</v>
      </c>
      <c r="F2547" t="str">
        <f>"0002854"</f>
        <v>0002854</v>
      </c>
      <c r="G2547">
        <v>1</v>
      </c>
      <c r="H2547" t="str">
        <f>"00000000"</f>
        <v>00000000</v>
      </c>
      <c r="I2547" t="s">
        <v>35</v>
      </c>
      <c r="J2547"/>
      <c r="K2547">
        <v>2.37</v>
      </c>
      <c r="L2547">
        <v>0.0</v>
      </c>
      <c r="M2547"/>
      <c r="N2547"/>
      <c r="O2547">
        <v>0.43</v>
      </c>
      <c r="P2547">
        <v>0.0</v>
      </c>
      <c r="Q2547">
        <v>2.8</v>
      </c>
      <c r="R2547"/>
      <c r="S2547"/>
      <c r="T2547"/>
      <c r="U2547"/>
      <c r="V2547"/>
      <c r="W2547">
        <v>18</v>
      </c>
    </row>
    <row r="2548" spans="1:23">
      <c r="A2548"/>
      <c r="B2548" t="s">
        <v>72</v>
      </c>
      <c r="C2548" t="s">
        <v>72</v>
      </c>
      <c r="D2548" t="s">
        <v>33</v>
      </c>
      <c r="E2548" t="s">
        <v>34</v>
      </c>
      <c r="F2548" t="str">
        <f>"0002855"</f>
        <v>0002855</v>
      </c>
      <c r="G2548">
        <v>1</v>
      </c>
      <c r="H2548" t="str">
        <f>"00000000"</f>
        <v>00000000</v>
      </c>
      <c r="I2548" t="s">
        <v>35</v>
      </c>
      <c r="J2548"/>
      <c r="K2548">
        <v>7.46</v>
      </c>
      <c r="L2548">
        <v>0.0</v>
      </c>
      <c r="M2548"/>
      <c r="N2548"/>
      <c r="O2548">
        <v>1.34</v>
      </c>
      <c r="P2548">
        <v>0.0</v>
      </c>
      <c r="Q2548">
        <v>8.8</v>
      </c>
      <c r="R2548"/>
      <c r="S2548"/>
      <c r="T2548"/>
      <c r="U2548"/>
      <c r="V2548"/>
      <c r="W2548">
        <v>18</v>
      </c>
    </row>
    <row r="2549" spans="1:23">
      <c r="A2549"/>
      <c r="B2549" t="s">
        <v>72</v>
      </c>
      <c r="C2549" t="s">
        <v>72</v>
      </c>
      <c r="D2549" t="s">
        <v>33</v>
      </c>
      <c r="E2549" t="s">
        <v>34</v>
      </c>
      <c r="F2549" t="str">
        <f>"0002856"</f>
        <v>0002856</v>
      </c>
      <c r="G2549">
        <v>1</v>
      </c>
      <c r="H2549" t="str">
        <f>"00000000"</f>
        <v>00000000</v>
      </c>
      <c r="I2549" t="s">
        <v>35</v>
      </c>
      <c r="J2549"/>
      <c r="K2549">
        <v>2.56</v>
      </c>
      <c r="L2549">
        <v>0.0</v>
      </c>
      <c r="M2549"/>
      <c r="N2549"/>
      <c r="O2549">
        <v>0.46</v>
      </c>
      <c r="P2549">
        <v>0.2</v>
      </c>
      <c r="Q2549">
        <v>3.22</v>
      </c>
      <c r="R2549"/>
      <c r="S2549"/>
      <c r="T2549"/>
      <c r="U2549"/>
      <c r="V2549"/>
      <c r="W2549">
        <v>18</v>
      </c>
    </row>
    <row r="2550" spans="1:23">
      <c r="A2550"/>
      <c r="B2550" t="s">
        <v>72</v>
      </c>
      <c r="C2550" t="s">
        <v>72</v>
      </c>
      <c r="D2550" t="s">
        <v>33</v>
      </c>
      <c r="E2550" t="s">
        <v>34</v>
      </c>
      <c r="F2550" t="str">
        <f>"0002857"</f>
        <v>0002857</v>
      </c>
      <c r="G2550">
        <v>1</v>
      </c>
      <c r="H2550" t="str">
        <f>"00000000"</f>
        <v>00000000</v>
      </c>
      <c r="I2550" t="s">
        <v>35</v>
      </c>
      <c r="J2550"/>
      <c r="K2550">
        <v>8.81</v>
      </c>
      <c r="L2550">
        <v>0.0</v>
      </c>
      <c r="M2550"/>
      <c r="N2550"/>
      <c r="O2550">
        <v>1.59</v>
      </c>
      <c r="P2550">
        <v>0.0</v>
      </c>
      <c r="Q2550">
        <v>10.4</v>
      </c>
      <c r="R2550"/>
      <c r="S2550"/>
      <c r="T2550"/>
      <c r="U2550"/>
      <c r="V2550"/>
      <c r="W2550">
        <v>18</v>
      </c>
    </row>
    <row r="2551" spans="1:23">
      <c r="A2551"/>
      <c r="B2551" t="s">
        <v>72</v>
      </c>
      <c r="C2551" t="s">
        <v>72</v>
      </c>
      <c r="D2551" t="s">
        <v>33</v>
      </c>
      <c r="E2551" t="s">
        <v>34</v>
      </c>
      <c r="F2551" t="str">
        <f>"0002858"</f>
        <v>0002858</v>
      </c>
      <c r="G2551">
        <v>1</v>
      </c>
      <c r="H2551" t="str">
        <f>"00000000"</f>
        <v>00000000</v>
      </c>
      <c r="I2551" t="s">
        <v>35</v>
      </c>
      <c r="J2551"/>
      <c r="K2551">
        <v>12.63</v>
      </c>
      <c r="L2551">
        <v>0.0</v>
      </c>
      <c r="M2551"/>
      <c r="N2551"/>
      <c r="O2551">
        <v>2.27</v>
      </c>
      <c r="P2551">
        <v>0.0</v>
      </c>
      <c r="Q2551">
        <v>14.9</v>
      </c>
      <c r="R2551"/>
      <c r="S2551"/>
      <c r="T2551"/>
      <c r="U2551"/>
      <c r="V2551"/>
      <c r="W2551">
        <v>18</v>
      </c>
    </row>
    <row r="2552" spans="1:23">
      <c r="A2552"/>
      <c r="B2552" t="s">
        <v>72</v>
      </c>
      <c r="C2552" t="s">
        <v>72</v>
      </c>
      <c r="D2552" t="s">
        <v>33</v>
      </c>
      <c r="E2552" t="s">
        <v>34</v>
      </c>
      <c r="F2552" t="str">
        <f>"0002859"</f>
        <v>0002859</v>
      </c>
      <c r="G2552">
        <v>1</v>
      </c>
      <c r="H2552" t="str">
        <f>"00000000"</f>
        <v>00000000</v>
      </c>
      <c r="I2552" t="s">
        <v>35</v>
      </c>
      <c r="J2552"/>
      <c r="K2552">
        <v>38.15</v>
      </c>
      <c r="L2552">
        <v>0.0</v>
      </c>
      <c r="M2552"/>
      <c r="N2552"/>
      <c r="O2552">
        <v>6.87</v>
      </c>
      <c r="P2552">
        <v>0.2</v>
      </c>
      <c r="Q2552">
        <v>45.22</v>
      </c>
      <c r="R2552"/>
      <c r="S2552"/>
      <c r="T2552"/>
      <c r="U2552"/>
      <c r="V2552"/>
      <c r="W2552">
        <v>18</v>
      </c>
    </row>
    <row r="2553" spans="1:23">
      <c r="A2553"/>
      <c r="B2553" t="s">
        <v>72</v>
      </c>
      <c r="C2553" t="s">
        <v>72</v>
      </c>
      <c r="D2553" t="s">
        <v>33</v>
      </c>
      <c r="E2553" t="s">
        <v>34</v>
      </c>
      <c r="F2553" t="str">
        <f>"0002860"</f>
        <v>0002860</v>
      </c>
      <c r="G2553">
        <v>1</v>
      </c>
      <c r="H2553" t="str">
        <f>"00000000"</f>
        <v>00000000</v>
      </c>
      <c r="I2553" t="s">
        <v>35</v>
      </c>
      <c r="J2553"/>
      <c r="K2553">
        <v>10.7</v>
      </c>
      <c r="L2553">
        <v>0.0</v>
      </c>
      <c r="M2553"/>
      <c r="N2553"/>
      <c r="O2553">
        <v>1.93</v>
      </c>
      <c r="P2553">
        <v>0.0</v>
      </c>
      <c r="Q2553">
        <v>12.63</v>
      </c>
      <c r="R2553"/>
      <c r="S2553"/>
      <c r="T2553"/>
      <c r="U2553"/>
      <c r="V2553"/>
      <c r="W2553">
        <v>18</v>
      </c>
    </row>
    <row r="2554" spans="1:23">
      <c r="A2554"/>
      <c r="B2554" t="s">
        <v>72</v>
      </c>
      <c r="C2554" t="s">
        <v>72</v>
      </c>
      <c r="D2554" t="s">
        <v>33</v>
      </c>
      <c r="E2554" t="s">
        <v>34</v>
      </c>
      <c r="F2554" t="str">
        <f>"0002861"</f>
        <v>0002861</v>
      </c>
      <c r="G2554">
        <v>1</v>
      </c>
      <c r="H2554" t="str">
        <f>"00000000"</f>
        <v>00000000</v>
      </c>
      <c r="I2554" t="s">
        <v>35</v>
      </c>
      <c r="J2554"/>
      <c r="K2554">
        <v>75.87</v>
      </c>
      <c r="L2554">
        <v>0.0</v>
      </c>
      <c r="M2554"/>
      <c r="N2554"/>
      <c r="O2554">
        <v>13.66</v>
      </c>
      <c r="P2554">
        <v>0.0</v>
      </c>
      <c r="Q2554">
        <v>89.53</v>
      </c>
      <c r="R2554"/>
      <c r="S2554"/>
      <c r="T2554"/>
      <c r="U2554"/>
      <c r="V2554"/>
      <c r="W2554">
        <v>18</v>
      </c>
    </row>
    <row r="2555" spans="1:23">
      <c r="A2555"/>
      <c r="B2555" t="s">
        <v>72</v>
      </c>
      <c r="C2555" t="s">
        <v>72</v>
      </c>
      <c r="D2555" t="s">
        <v>33</v>
      </c>
      <c r="E2555" t="s">
        <v>34</v>
      </c>
      <c r="F2555" t="str">
        <f>"0002862"</f>
        <v>0002862</v>
      </c>
      <c r="G2555">
        <v>1</v>
      </c>
      <c r="H2555" t="str">
        <f>"00000000"</f>
        <v>00000000</v>
      </c>
      <c r="I2555" t="s">
        <v>35</v>
      </c>
      <c r="J2555"/>
      <c r="K2555">
        <v>8.47</v>
      </c>
      <c r="L2555">
        <v>0.0</v>
      </c>
      <c r="M2555"/>
      <c r="N2555"/>
      <c r="O2555">
        <v>1.52</v>
      </c>
      <c r="P2555">
        <v>0.0</v>
      </c>
      <c r="Q2555">
        <v>9.99</v>
      </c>
      <c r="R2555"/>
      <c r="S2555"/>
      <c r="T2555"/>
      <c r="U2555"/>
      <c r="V2555"/>
      <c r="W2555">
        <v>18</v>
      </c>
    </row>
    <row r="2556" spans="1:23">
      <c r="A2556"/>
      <c r="B2556" t="s">
        <v>72</v>
      </c>
      <c r="C2556" t="s">
        <v>72</v>
      </c>
      <c r="D2556" t="s">
        <v>33</v>
      </c>
      <c r="E2556" t="s">
        <v>34</v>
      </c>
      <c r="F2556" t="str">
        <f>"0002863"</f>
        <v>0002863</v>
      </c>
      <c r="G2556">
        <v>1</v>
      </c>
      <c r="H2556" t="str">
        <f>"00000000"</f>
        <v>00000000</v>
      </c>
      <c r="I2556" t="s">
        <v>35</v>
      </c>
      <c r="J2556"/>
      <c r="K2556">
        <v>24.38</v>
      </c>
      <c r="L2556">
        <v>0.0</v>
      </c>
      <c r="M2556"/>
      <c r="N2556"/>
      <c r="O2556">
        <v>4.39</v>
      </c>
      <c r="P2556">
        <v>0.2</v>
      </c>
      <c r="Q2556">
        <v>28.97</v>
      </c>
      <c r="R2556"/>
      <c r="S2556"/>
      <c r="T2556"/>
      <c r="U2556"/>
      <c r="V2556"/>
      <c r="W2556">
        <v>18</v>
      </c>
    </row>
    <row r="2557" spans="1:23">
      <c r="A2557"/>
      <c r="B2557" t="s">
        <v>72</v>
      </c>
      <c r="C2557" t="s">
        <v>72</v>
      </c>
      <c r="D2557" t="s">
        <v>33</v>
      </c>
      <c r="E2557" t="s">
        <v>34</v>
      </c>
      <c r="F2557" t="str">
        <f>"0002864"</f>
        <v>0002864</v>
      </c>
      <c r="G2557">
        <v>1</v>
      </c>
      <c r="H2557" t="str">
        <f>"00000000"</f>
        <v>00000000</v>
      </c>
      <c r="I2557" t="s">
        <v>35</v>
      </c>
      <c r="J2557"/>
      <c r="K2557">
        <v>1.79</v>
      </c>
      <c r="L2557">
        <v>0.0</v>
      </c>
      <c r="M2557"/>
      <c r="N2557"/>
      <c r="O2557">
        <v>0.32</v>
      </c>
      <c r="P2557">
        <v>0.0</v>
      </c>
      <c r="Q2557">
        <v>2.11</v>
      </c>
      <c r="R2557"/>
      <c r="S2557"/>
      <c r="T2557"/>
      <c r="U2557"/>
      <c r="V2557"/>
      <c r="W2557">
        <v>18</v>
      </c>
    </row>
    <row r="2558" spans="1:23">
      <c r="A2558"/>
      <c r="B2558" t="s">
        <v>72</v>
      </c>
      <c r="C2558" t="s">
        <v>72</v>
      </c>
      <c r="D2558" t="s">
        <v>33</v>
      </c>
      <c r="E2558" t="s">
        <v>34</v>
      </c>
      <c r="F2558" t="str">
        <f>"0002865"</f>
        <v>0002865</v>
      </c>
      <c r="G2558">
        <v>1</v>
      </c>
      <c r="H2558" t="str">
        <f>"00000000"</f>
        <v>00000000</v>
      </c>
      <c r="I2558" t="s">
        <v>35</v>
      </c>
      <c r="J2558"/>
      <c r="K2558">
        <v>9.32</v>
      </c>
      <c r="L2558">
        <v>0.0</v>
      </c>
      <c r="M2558"/>
      <c r="N2558"/>
      <c r="O2558">
        <v>1.68</v>
      </c>
      <c r="P2558">
        <v>0.0</v>
      </c>
      <c r="Q2558">
        <v>11.0</v>
      </c>
      <c r="R2558"/>
      <c r="S2558"/>
      <c r="T2558"/>
      <c r="U2558"/>
      <c r="V2558"/>
      <c r="W2558">
        <v>18</v>
      </c>
    </row>
    <row r="2559" spans="1:23">
      <c r="A2559"/>
      <c r="B2559" t="s">
        <v>72</v>
      </c>
      <c r="C2559" t="s">
        <v>72</v>
      </c>
      <c r="D2559" t="s">
        <v>33</v>
      </c>
      <c r="E2559" t="s">
        <v>34</v>
      </c>
      <c r="F2559" t="str">
        <f>"0002866"</f>
        <v>0002866</v>
      </c>
      <c r="G2559">
        <v>1</v>
      </c>
      <c r="H2559" t="str">
        <f>"00000000"</f>
        <v>00000000</v>
      </c>
      <c r="I2559" t="s">
        <v>35</v>
      </c>
      <c r="J2559"/>
      <c r="K2559">
        <v>19.08</v>
      </c>
      <c r="L2559">
        <v>0.0</v>
      </c>
      <c r="M2559"/>
      <c r="N2559"/>
      <c r="O2559">
        <v>3.44</v>
      </c>
      <c r="P2559">
        <v>0.2</v>
      </c>
      <c r="Q2559">
        <v>22.72</v>
      </c>
      <c r="R2559"/>
      <c r="S2559"/>
      <c r="T2559"/>
      <c r="U2559"/>
      <c r="V2559"/>
      <c r="W2559">
        <v>18</v>
      </c>
    </row>
    <row r="2560" spans="1:23">
      <c r="A2560"/>
      <c r="B2560" t="s">
        <v>72</v>
      </c>
      <c r="C2560" t="s">
        <v>72</v>
      </c>
      <c r="D2560" t="s">
        <v>33</v>
      </c>
      <c r="E2560" t="s">
        <v>34</v>
      </c>
      <c r="F2560" t="str">
        <f>"0002867"</f>
        <v>0002867</v>
      </c>
      <c r="G2560">
        <v>1</v>
      </c>
      <c r="H2560" t="str">
        <f>"00000000"</f>
        <v>00000000</v>
      </c>
      <c r="I2560" t="s">
        <v>35</v>
      </c>
      <c r="J2560"/>
      <c r="K2560">
        <v>2.37</v>
      </c>
      <c r="L2560">
        <v>0.0</v>
      </c>
      <c r="M2560"/>
      <c r="N2560"/>
      <c r="O2560">
        <v>0.43</v>
      </c>
      <c r="P2560">
        <v>0.0</v>
      </c>
      <c r="Q2560">
        <v>2.8</v>
      </c>
      <c r="R2560"/>
      <c r="S2560"/>
      <c r="T2560"/>
      <c r="U2560"/>
      <c r="V2560"/>
      <c r="W2560">
        <v>18</v>
      </c>
    </row>
    <row r="2561" spans="1:23">
      <c r="A2561"/>
      <c r="B2561" t="s">
        <v>72</v>
      </c>
      <c r="C2561" t="s">
        <v>72</v>
      </c>
      <c r="D2561" t="s">
        <v>33</v>
      </c>
      <c r="E2561" t="s">
        <v>34</v>
      </c>
      <c r="F2561" t="str">
        <f>"0002868"</f>
        <v>0002868</v>
      </c>
      <c r="G2561">
        <v>1</v>
      </c>
      <c r="H2561" t="str">
        <f>"00000000"</f>
        <v>00000000</v>
      </c>
      <c r="I2561" t="s">
        <v>35</v>
      </c>
      <c r="J2561"/>
      <c r="K2561">
        <v>3.14</v>
      </c>
      <c r="L2561">
        <v>0.0</v>
      </c>
      <c r="M2561"/>
      <c r="N2561"/>
      <c r="O2561">
        <v>0.56</v>
      </c>
      <c r="P2561">
        <v>0.0</v>
      </c>
      <c r="Q2561">
        <v>3.7</v>
      </c>
      <c r="R2561"/>
      <c r="S2561"/>
      <c r="T2561"/>
      <c r="U2561"/>
      <c r="V2561"/>
      <c r="W2561">
        <v>18</v>
      </c>
    </row>
    <row r="2562" spans="1:23">
      <c r="A2562"/>
      <c r="B2562" t="s">
        <v>72</v>
      </c>
      <c r="C2562" t="s">
        <v>72</v>
      </c>
      <c r="D2562" t="s">
        <v>33</v>
      </c>
      <c r="E2562" t="s">
        <v>34</v>
      </c>
      <c r="F2562" t="str">
        <f>"0002869"</f>
        <v>0002869</v>
      </c>
      <c r="G2562">
        <v>1</v>
      </c>
      <c r="H2562" t="str">
        <f>"00000000"</f>
        <v>00000000</v>
      </c>
      <c r="I2562" t="s">
        <v>35</v>
      </c>
      <c r="J2562"/>
      <c r="K2562">
        <v>3.39</v>
      </c>
      <c r="L2562">
        <v>0.0</v>
      </c>
      <c r="M2562"/>
      <c r="N2562"/>
      <c r="O2562">
        <v>0.61</v>
      </c>
      <c r="P2562">
        <v>0.0</v>
      </c>
      <c r="Q2562">
        <v>4.0</v>
      </c>
      <c r="R2562"/>
      <c r="S2562"/>
      <c r="T2562"/>
      <c r="U2562"/>
      <c r="V2562"/>
      <c r="W2562">
        <v>18</v>
      </c>
    </row>
    <row r="2563" spans="1:23">
      <c r="A2563"/>
      <c r="B2563" t="s">
        <v>72</v>
      </c>
      <c r="C2563" t="s">
        <v>72</v>
      </c>
      <c r="D2563" t="s">
        <v>33</v>
      </c>
      <c r="E2563" t="s">
        <v>34</v>
      </c>
      <c r="F2563" t="str">
        <f>"0002870"</f>
        <v>0002870</v>
      </c>
      <c r="G2563">
        <v>1</v>
      </c>
      <c r="H2563" t="str">
        <f>"00000000"</f>
        <v>00000000</v>
      </c>
      <c r="I2563" t="s">
        <v>35</v>
      </c>
      <c r="J2563"/>
      <c r="K2563">
        <v>6.42</v>
      </c>
      <c r="L2563">
        <v>0.0</v>
      </c>
      <c r="M2563"/>
      <c r="N2563"/>
      <c r="O2563">
        <v>1.16</v>
      </c>
      <c r="P2563">
        <v>0.2</v>
      </c>
      <c r="Q2563">
        <v>7.78</v>
      </c>
      <c r="R2563"/>
      <c r="S2563"/>
      <c r="T2563"/>
      <c r="U2563"/>
      <c r="V2563"/>
      <c r="W2563">
        <v>18</v>
      </c>
    </row>
    <row r="2564" spans="1:23">
      <c r="A2564"/>
      <c r="B2564" t="s">
        <v>72</v>
      </c>
      <c r="C2564" t="s">
        <v>72</v>
      </c>
      <c r="D2564" t="s">
        <v>33</v>
      </c>
      <c r="E2564" t="s">
        <v>34</v>
      </c>
      <c r="F2564" t="str">
        <f>"0002871"</f>
        <v>0002871</v>
      </c>
      <c r="G2564">
        <v>1</v>
      </c>
      <c r="H2564" t="str">
        <f>"00000000"</f>
        <v>00000000</v>
      </c>
      <c r="I2564" t="s">
        <v>35</v>
      </c>
      <c r="J2564"/>
      <c r="K2564">
        <v>1.86</v>
      </c>
      <c r="L2564">
        <v>0.0</v>
      </c>
      <c r="M2564"/>
      <c r="N2564"/>
      <c r="O2564">
        <v>0.34</v>
      </c>
      <c r="P2564">
        <v>0.0</v>
      </c>
      <c r="Q2564">
        <v>2.2</v>
      </c>
      <c r="R2564"/>
      <c r="S2564"/>
      <c r="T2564"/>
      <c r="U2564"/>
      <c r="V2564"/>
      <c r="W2564">
        <v>18</v>
      </c>
    </row>
    <row r="2565" spans="1:23">
      <c r="A2565"/>
      <c r="B2565" t="s">
        <v>72</v>
      </c>
      <c r="C2565" t="s">
        <v>72</v>
      </c>
      <c r="D2565" t="s">
        <v>33</v>
      </c>
      <c r="E2565" t="s">
        <v>34</v>
      </c>
      <c r="F2565" t="str">
        <f>"0002872"</f>
        <v>0002872</v>
      </c>
      <c r="G2565">
        <v>1</v>
      </c>
      <c r="H2565" t="str">
        <f>"00000000"</f>
        <v>00000000</v>
      </c>
      <c r="I2565" t="s">
        <v>35</v>
      </c>
      <c r="J2565"/>
      <c r="K2565">
        <v>2.37</v>
      </c>
      <c r="L2565">
        <v>0.0</v>
      </c>
      <c r="M2565"/>
      <c r="N2565"/>
      <c r="O2565">
        <v>0.43</v>
      </c>
      <c r="P2565">
        <v>0.0</v>
      </c>
      <c r="Q2565">
        <v>2.8</v>
      </c>
      <c r="R2565"/>
      <c r="S2565"/>
      <c r="T2565"/>
      <c r="U2565"/>
      <c r="V2565"/>
      <c r="W2565">
        <v>18</v>
      </c>
    </row>
    <row r="2566" spans="1:23">
      <c r="A2566"/>
      <c r="B2566" t="s">
        <v>72</v>
      </c>
      <c r="C2566" t="s">
        <v>72</v>
      </c>
      <c r="D2566" t="s">
        <v>33</v>
      </c>
      <c r="E2566" t="s">
        <v>34</v>
      </c>
      <c r="F2566" t="str">
        <f>"0002873"</f>
        <v>0002873</v>
      </c>
      <c r="G2566">
        <v>1</v>
      </c>
      <c r="H2566" t="str">
        <f>"00000000"</f>
        <v>00000000</v>
      </c>
      <c r="I2566" t="s">
        <v>35</v>
      </c>
      <c r="J2566"/>
      <c r="K2566">
        <v>10.17</v>
      </c>
      <c r="L2566">
        <v>0.0</v>
      </c>
      <c r="M2566"/>
      <c r="N2566"/>
      <c r="O2566">
        <v>1.83</v>
      </c>
      <c r="P2566">
        <v>0.0</v>
      </c>
      <c r="Q2566">
        <v>12.0</v>
      </c>
      <c r="R2566"/>
      <c r="S2566"/>
      <c r="T2566"/>
      <c r="U2566"/>
      <c r="V2566"/>
      <c r="W2566">
        <v>18</v>
      </c>
    </row>
    <row r="2567" spans="1:23">
      <c r="A2567"/>
      <c r="B2567" t="s">
        <v>72</v>
      </c>
      <c r="C2567" t="s">
        <v>72</v>
      </c>
      <c r="D2567" t="s">
        <v>33</v>
      </c>
      <c r="E2567" t="s">
        <v>34</v>
      </c>
      <c r="F2567" t="str">
        <f>"0002874"</f>
        <v>0002874</v>
      </c>
      <c r="G2567">
        <v>1</v>
      </c>
      <c r="H2567" t="str">
        <f>"00000000"</f>
        <v>00000000</v>
      </c>
      <c r="I2567" t="s">
        <v>35</v>
      </c>
      <c r="J2567"/>
      <c r="K2567">
        <v>13.32</v>
      </c>
      <c r="L2567">
        <v>0.0</v>
      </c>
      <c r="M2567"/>
      <c r="N2567"/>
      <c r="O2567">
        <v>2.4</v>
      </c>
      <c r="P2567">
        <v>0.2</v>
      </c>
      <c r="Q2567">
        <v>15.92</v>
      </c>
      <c r="R2567"/>
      <c r="S2567"/>
      <c r="T2567"/>
      <c r="U2567"/>
      <c r="V2567"/>
      <c r="W2567">
        <v>18</v>
      </c>
    </row>
    <row r="2568" spans="1:23">
      <c r="A2568"/>
      <c r="B2568" t="s">
        <v>72</v>
      </c>
      <c r="C2568" t="s">
        <v>72</v>
      </c>
      <c r="D2568" t="s">
        <v>33</v>
      </c>
      <c r="E2568" t="s">
        <v>34</v>
      </c>
      <c r="F2568" t="str">
        <f>"0002875"</f>
        <v>0002875</v>
      </c>
      <c r="G2568">
        <v>1</v>
      </c>
      <c r="H2568" t="str">
        <f>"00000000"</f>
        <v>00000000</v>
      </c>
      <c r="I2568" t="s">
        <v>35</v>
      </c>
      <c r="J2568"/>
      <c r="K2568">
        <v>11.8</v>
      </c>
      <c r="L2568">
        <v>0.0</v>
      </c>
      <c r="M2568"/>
      <c r="N2568"/>
      <c r="O2568">
        <v>2.12</v>
      </c>
      <c r="P2568">
        <v>0.2</v>
      </c>
      <c r="Q2568">
        <v>14.12</v>
      </c>
      <c r="R2568"/>
      <c r="S2568"/>
      <c r="T2568"/>
      <c r="U2568"/>
      <c r="V2568"/>
      <c r="W2568">
        <v>18</v>
      </c>
    </row>
    <row r="2569" spans="1:23">
      <c r="A2569"/>
      <c r="B2569" t="s">
        <v>72</v>
      </c>
      <c r="C2569" t="s">
        <v>72</v>
      </c>
      <c r="D2569" t="s">
        <v>33</v>
      </c>
      <c r="E2569" t="s">
        <v>34</v>
      </c>
      <c r="F2569" t="str">
        <f>"0002876"</f>
        <v>0002876</v>
      </c>
      <c r="G2569">
        <v>1</v>
      </c>
      <c r="H2569" t="str">
        <f>"00000000"</f>
        <v>00000000</v>
      </c>
      <c r="I2569" t="s">
        <v>35</v>
      </c>
      <c r="J2569"/>
      <c r="K2569">
        <v>5.95</v>
      </c>
      <c r="L2569">
        <v>0.0</v>
      </c>
      <c r="M2569"/>
      <c r="N2569"/>
      <c r="O2569">
        <v>1.07</v>
      </c>
      <c r="P2569">
        <v>0.2</v>
      </c>
      <c r="Q2569">
        <v>7.22</v>
      </c>
      <c r="R2569"/>
      <c r="S2569"/>
      <c r="T2569"/>
      <c r="U2569"/>
      <c r="V2569"/>
      <c r="W2569">
        <v>18</v>
      </c>
    </row>
    <row r="2570" spans="1:23">
      <c r="A2570"/>
      <c r="B2570" t="s">
        <v>72</v>
      </c>
      <c r="C2570" t="s">
        <v>72</v>
      </c>
      <c r="D2570" t="s">
        <v>33</v>
      </c>
      <c r="E2570" t="s">
        <v>34</v>
      </c>
      <c r="F2570" t="str">
        <f>"0002877"</f>
        <v>0002877</v>
      </c>
      <c r="G2570">
        <v>1</v>
      </c>
      <c r="H2570" t="str">
        <f>"00000000"</f>
        <v>00000000</v>
      </c>
      <c r="I2570" t="s">
        <v>35</v>
      </c>
      <c r="J2570"/>
      <c r="K2570">
        <v>32.03</v>
      </c>
      <c r="L2570">
        <v>0.0</v>
      </c>
      <c r="M2570"/>
      <c r="N2570"/>
      <c r="O2570">
        <v>5.77</v>
      </c>
      <c r="P2570">
        <v>0.0</v>
      </c>
      <c r="Q2570">
        <v>37.8</v>
      </c>
      <c r="R2570"/>
      <c r="S2570"/>
      <c r="T2570"/>
      <c r="U2570"/>
      <c r="V2570"/>
      <c r="W2570">
        <v>18</v>
      </c>
    </row>
    <row r="2571" spans="1:23">
      <c r="A2571"/>
      <c r="B2571" t="s">
        <v>72</v>
      </c>
      <c r="C2571" t="s">
        <v>72</v>
      </c>
      <c r="D2571" t="s">
        <v>33</v>
      </c>
      <c r="E2571" t="s">
        <v>34</v>
      </c>
      <c r="F2571" t="str">
        <f>"0002878"</f>
        <v>0002878</v>
      </c>
      <c r="G2571">
        <v>1</v>
      </c>
      <c r="H2571" t="str">
        <f>"00000000"</f>
        <v>00000000</v>
      </c>
      <c r="I2571" t="s">
        <v>35</v>
      </c>
      <c r="J2571"/>
      <c r="K2571">
        <v>9.25</v>
      </c>
      <c r="L2571">
        <v>0.0</v>
      </c>
      <c r="M2571"/>
      <c r="N2571"/>
      <c r="O2571">
        <v>1.67</v>
      </c>
      <c r="P2571">
        <v>0.2</v>
      </c>
      <c r="Q2571">
        <v>11.12</v>
      </c>
      <c r="R2571"/>
      <c r="S2571"/>
      <c r="T2571"/>
      <c r="U2571"/>
      <c r="V2571"/>
      <c r="W2571">
        <v>18</v>
      </c>
    </row>
    <row r="2572" spans="1:23">
      <c r="A2572"/>
      <c r="B2572" t="s">
        <v>72</v>
      </c>
      <c r="C2572" t="s">
        <v>72</v>
      </c>
      <c r="D2572" t="s">
        <v>33</v>
      </c>
      <c r="E2572" t="s">
        <v>34</v>
      </c>
      <c r="F2572" t="str">
        <f>"0002879"</f>
        <v>0002879</v>
      </c>
      <c r="G2572">
        <v>1</v>
      </c>
      <c r="H2572" t="str">
        <f>"00000000"</f>
        <v>00000000</v>
      </c>
      <c r="I2572" t="s">
        <v>35</v>
      </c>
      <c r="J2572"/>
      <c r="K2572">
        <v>19.07</v>
      </c>
      <c r="L2572">
        <v>0.0</v>
      </c>
      <c r="M2572"/>
      <c r="N2572"/>
      <c r="O2572">
        <v>3.43</v>
      </c>
      <c r="P2572">
        <v>0.0</v>
      </c>
      <c r="Q2572">
        <v>22.5</v>
      </c>
      <c r="R2572"/>
      <c r="S2572"/>
      <c r="T2572"/>
      <c r="U2572"/>
      <c r="V2572"/>
      <c r="W2572">
        <v>18</v>
      </c>
    </row>
    <row r="2573" spans="1:23">
      <c r="A2573"/>
      <c r="B2573" t="s">
        <v>72</v>
      </c>
      <c r="C2573" t="s">
        <v>72</v>
      </c>
      <c r="D2573" t="s">
        <v>33</v>
      </c>
      <c r="E2573" t="s">
        <v>34</v>
      </c>
      <c r="F2573" t="str">
        <f>"0002880"</f>
        <v>0002880</v>
      </c>
      <c r="G2573">
        <v>1</v>
      </c>
      <c r="H2573" t="str">
        <f>"00000000"</f>
        <v>00000000</v>
      </c>
      <c r="I2573" t="s">
        <v>35</v>
      </c>
      <c r="J2573"/>
      <c r="K2573">
        <v>6.36</v>
      </c>
      <c r="L2573">
        <v>0.0</v>
      </c>
      <c r="M2573"/>
      <c r="N2573"/>
      <c r="O2573">
        <v>1.14</v>
      </c>
      <c r="P2573">
        <v>0.0</v>
      </c>
      <c r="Q2573">
        <v>7.5</v>
      </c>
      <c r="R2573"/>
      <c r="S2573"/>
      <c r="T2573"/>
      <c r="U2573"/>
      <c r="V2573"/>
      <c r="W2573">
        <v>18</v>
      </c>
    </row>
    <row r="2574" spans="1:23">
      <c r="A2574"/>
      <c r="B2574" t="s">
        <v>72</v>
      </c>
      <c r="C2574" t="s">
        <v>72</v>
      </c>
      <c r="D2574" t="s">
        <v>33</v>
      </c>
      <c r="E2574" t="s">
        <v>34</v>
      </c>
      <c r="F2574" t="str">
        <f>"0002881"</f>
        <v>0002881</v>
      </c>
      <c r="G2574">
        <v>1</v>
      </c>
      <c r="H2574" t="str">
        <f>"00000000"</f>
        <v>00000000</v>
      </c>
      <c r="I2574" t="s">
        <v>35</v>
      </c>
      <c r="J2574"/>
      <c r="K2574">
        <v>0.02</v>
      </c>
      <c r="L2574">
        <v>0.0</v>
      </c>
      <c r="M2574"/>
      <c r="N2574"/>
      <c r="O2574">
        <v>0.0</v>
      </c>
      <c r="P2574">
        <v>0.2</v>
      </c>
      <c r="Q2574">
        <v>0.22</v>
      </c>
      <c r="R2574"/>
      <c r="S2574"/>
      <c r="T2574"/>
      <c r="U2574"/>
      <c r="V2574"/>
      <c r="W2574">
        <v>18</v>
      </c>
    </row>
    <row r="2575" spans="1:23">
      <c r="A2575"/>
      <c r="B2575" t="s">
        <v>72</v>
      </c>
      <c r="C2575" t="s">
        <v>72</v>
      </c>
      <c r="D2575" t="s">
        <v>33</v>
      </c>
      <c r="E2575" t="s">
        <v>34</v>
      </c>
      <c r="F2575" t="str">
        <f>"0002882"</f>
        <v>0002882</v>
      </c>
      <c r="G2575">
        <v>1</v>
      </c>
      <c r="H2575" t="str">
        <f>"00000000"</f>
        <v>00000000</v>
      </c>
      <c r="I2575" t="s">
        <v>35</v>
      </c>
      <c r="J2575"/>
      <c r="K2575">
        <v>15.56</v>
      </c>
      <c r="L2575">
        <v>0.0</v>
      </c>
      <c r="M2575"/>
      <c r="N2575"/>
      <c r="O2575">
        <v>2.8</v>
      </c>
      <c r="P2575">
        <v>0.2</v>
      </c>
      <c r="Q2575">
        <v>18.56</v>
      </c>
      <c r="R2575"/>
      <c r="S2575"/>
      <c r="T2575"/>
      <c r="U2575"/>
      <c r="V2575"/>
      <c r="W2575">
        <v>18</v>
      </c>
    </row>
    <row r="2576" spans="1:23">
      <c r="A2576"/>
      <c r="B2576" t="s">
        <v>72</v>
      </c>
      <c r="C2576" t="s">
        <v>72</v>
      </c>
      <c r="D2576" t="s">
        <v>33</v>
      </c>
      <c r="E2576" t="s">
        <v>34</v>
      </c>
      <c r="F2576" t="str">
        <f>"0002883"</f>
        <v>0002883</v>
      </c>
      <c r="G2576">
        <v>1</v>
      </c>
      <c r="H2576" t="str">
        <f>"00000000"</f>
        <v>00000000</v>
      </c>
      <c r="I2576" t="s">
        <v>35</v>
      </c>
      <c r="J2576"/>
      <c r="K2576">
        <v>2.97</v>
      </c>
      <c r="L2576">
        <v>0.0</v>
      </c>
      <c r="M2576"/>
      <c r="N2576"/>
      <c r="O2576">
        <v>0.53</v>
      </c>
      <c r="P2576">
        <v>0.0</v>
      </c>
      <c r="Q2576">
        <v>3.5</v>
      </c>
      <c r="R2576"/>
      <c r="S2576"/>
      <c r="T2576"/>
      <c r="U2576"/>
      <c r="V2576"/>
      <c r="W2576">
        <v>18</v>
      </c>
    </row>
    <row r="2577" spans="1:23">
      <c r="A2577"/>
      <c r="B2577" t="s">
        <v>72</v>
      </c>
      <c r="C2577" t="s">
        <v>72</v>
      </c>
      <c r="D2577" t="s">
        <v>33</v>
      </c>
      <c r="E2577" t="s">
        <v>34</v>
      </c>
      <c r="F2577" t="str">
        <f>"0002884"</f>
        <v>0002884</v>
      </c>
      <c r="G2577">
        <v>1</v>
      </c>
      <c r="H2577" t="str">
        <f>"00000000"</f>
        <v>00000000</v>
      </c>
      <c r="I2577" t="s">
        <v>35</v>
      </c>
      <c r="J2577"/>
      <c r="K2577">
        <v>15.44</v>
      </c>
      <c r="L2577">
        <v>0.0</v>
      </c>
      <c r="M2577"/>
      <c r="N2577"/>
      <c r="O2577">
        <v>2.78</v>
      </c>
      <c r="P2577">
        <v>0.0</v>
      </c>
      <c r="Q2577">
        <v>18.23</v>
      </c>
      <c r="R2577"/>
      <c r="S2577"/>
      <c r="T2577"/>
      <c r="U2577"/>
      <c r="V2577"/>
      <c r="W2577">
        <v>18</v>
      </c>
    </row>
    <row r="2578" spans="1:23">
      <c r="A2578"/>
      <c r="B2578" t="s">
        <v>72</v>
      </c>
      <c r="C2578" t="s">
        <v>72</v>
      </c>
      <c r="D2578" t="s">
        <v>33</v>
      </c>
      <c r="E2578" t="s">
        <v>34</v>
      </c>
      <c r="F2578" t="str">
        <f>"0002885"</f>
        <v>0002885</v>
      </c>
      <c r="G2578">
        <v>1</v>
      </c>
      <c r="H2578" t="str">
        <f>"00000000"</f>
        <v>00000000</v>
      </c>
      <c r="I2578" t="s">
        <v>35</v>
      </c>
      <c r="J2578"/>
      <c r="K2578">
        <v>2.12</v>
      </c>
      <c r="L2578">
        <v>0.0</v>
      </c>
      <c r="M2578"/>
      <c r="N2578"/>
      <c r="O2578">
        <v>0.38</v>
      </c>
      <c r="P2578">
        <v>0.0</v>
      </c>
      <c r="Q2578">
        <v>2.5</v>
      </c>
      <c r="R2578"/>
      <c r="S2578"/>
      <c r="T2578"/>
      <c r="U2578"/>
      <c r="V2578"/>
      <c r="W2578">
        <v>18</v>
      </c>
    </row>
    <row r="2579" spans="1:23">
      <c r="A2579"/>
      <c r="B2579" t="s">
        <v>72</v>
      </c>
      <c r="C2579" t="s">
        <v>72</v>
      </c>
      <c r="D2579" t="s">
        <v>33</v>
      </c>
      <c r="E2579" t="s">
        <v>34</v>
      </c>
      <c r="F2579" t="str">
        <f>"0002886"</f>
        <v>0002886</v>
      </c>
      <c r="G2579">
        <v>1</v>
      </c>
      <c r="H2579" t="str">
        <f>"00000000"</f>
        <v>00000000</v>
      </c>
      <c r="I2579" t="s">
        <v>35</v>
      </c>
      <c r="J2579"/>
      <c r="K2579">
        <v>14.72</v>
      </c>
      <c r="L2579">
        <v>0.0</v>
      </c>
      <c r="M2579"/>
      <c r="N2579"/>
      <c r="O2579">
        <v>2.65</v>
      </c>
      <c r="P2579">
        <v>0.2</v>
      </c>
      <c r="Q2579">
        <v>17.57</v>
      </c>
      <c r="R2579"/>
      <c r="S2579"/>
      <c r="T2579"/>
      <c r="U2579"/>
      <c r="V2579"/>
      <c r="W2579">
        <v>18</v>
      </c>
    </row>
    <row r="2580" spans="1:23">
      <c r="A2580"/>
      <c r="B2580" t="s">
        <v>72</v>
      </c>
      <c r="C2580" t="s">
        <v>72</v>
      </c>
      <c r="D2580" t="s">
        <v>33</v>
      </c>
      <c r="E2580" t="s">
        <v>34</v>
      </c>
      <c r="F2580" t="str">
        <f>"0002887"</f>
        <v>0002887</v>
      </c>
      <c r="G2580">
        <v>1</v>
      </c>
      <c r="H2580" t="str">
        <f>"00000000"</f>
        <v>00000000</v>
      </c>
      <c r="I2580" t="s">
        <v>35</v>
      </c>
      <c r="J2580"/>
      <c r="K2580">
        <v>18.32</v>
      </c>
      <c r="L2580">
        <v>0.0</v>
      </c>
      <c r="M2580"/>
      <c r="N2580"/>
      <c r="O2580">
        <v>3.3</v>
      </c>
      <c r="P2580">
        <v>0.2</v>
      </c>
      <c r="Q2580">
        <v>21.82</v>
      </c>
      <c r="R2580"/>
      <c r="S2580"/>
      <c r="T2580"/>
      <c r="U2580"/>
      <c r="V2580"/>
      <c r="W2580">
        <v>18</v>
      </c>
    </row>
    <row r="2581" spans="1:23">
      <c r="A2581"/>
      <c r="B2581" t="s">
        <v>72</v>
      </c>
      <c r="C2581" t="s">
        <v>72</v>
      </c>
      <c r="D2581" t="s">
        <v>33</v>
      </c>
      <c r="E2581" t="s">
        <v>34</v>
      </c>
      <c r="F2581" t="str">
        <f>"0002888"</f>
        <v>0002888</v>
      </c>
      <c r="G2581">
        <v>1</v>
      </c>
      <c r="H2581" t="str">
        <f>"00000000"</f>
        <v>00000000</v>
      </c>
      <c r="I2581" t="s">
        <v>35</v>
      </c>
      <c r="J2581"/>
      <c r="K2581">
        <v>27.4</v>
      </c>
      <c r="L2581">
        <v>0.0</v>
      </c>
      <c r="M2581"/>
      <c r="N2581"/>
      <c r="O2581">
        <v>4.93</v>
      </c>
      <c r="P2581">
        <v>0.0</v>
      </c>
      <c r="Q2581">
        <v>32.33</v>
      </c>
      <c r="R2581"/>
      <c r="S2581"/>
      <c r="T2581"/>
      <c r="U2581"/>
      <c r="V2581"/>
      <c r="W2581">
        <v>18</v>
      </c>
    </row>
    <row r="2582" spans="1:23">
      <c r="A2582"/>
      <c r="B2582" t="s">
        <v>72</v>
      </c>
      <c r="C2582" t="s">
        <v>72</v>
      </c>
      <c r="D2582" t="s">
        <v>33</v>
      </c>
      <c r="E2582" t="s">
        <v>34</v>
      </c>
      <c r="F2582" t="str">
        <f>"0002889"</f>
        <v>0002889</v>
      </c>
      <c r="G2582">
        <v>1</v>
      </c>
      <c r="H2582" t="str">
        <f>"00000000"</f>
        <v>00000000</v>
      </c>
      <c r="I2582" t="s">
        <v>35</v>
      </c>
      <c r="J2582"/>
      <c r="K2582">
        <v>9.81</v>
      </c>
      <c r="L2582">
        <v>0.0</v>
      </c>
      <c r="M2582"/>
      <c r="N2582"/>
      <c r="O2582">
        <v>1.77</v>
      </c>
      <c r="P2582">
        <v>0.0</v>
      </c>
      <c r="Q2582">
        <v>11.58</v>
      </c>
      <c r="R2582"/>
      <c r="S2582"/>
      <c r="T2582"/>
      <c r="U2582"/>
      <c r="V2582"/>
      <c r="W2582">
        <v>18</v>
      </c>
    </row>
    <row r="2583" spans="1:23">
      <c r="A2583"/>
      <c r="B2583" t="s">
        <v>72</v>
      </c>
      <c r="C2583" t="s">
        <v>72</v>
      </c>
      <c r="D2583" t="s">
        <v>33</v>
      </c>
      <c r="E2583" t="s">
        <v>34</v>
      </c>
      <c r="F2583" t="str">
        <f>"0002890"</f>
        <v>0002890</v>
      </c>
      <c r="G2583">
        <v>1</v>
      </c>
      <c r="H2583" t="str">
        <f>"00000000"</f>
        <v>00000000</v>
      </c>
      <c r="I2583" t="s">
        <v>35</v>
      </c>
      <c r="J2583"/>
      <c r="K2583">
        <v>5.76</v>
      </c>
      <c r="L2583">
        <v>0.0</v>
      </c>
      <c r="M2583"/>
      <c r="N2583"/>
      <c r="O2583">
        <v>1.04</v>
      </c>
      <c r="P2583">
        <v>0.0</v>
      </c>
      <c r="Q2583">
        <v>6.8</v>
      </c>
      <c r="R2583"/>
      <c r="S2583"/>
      <c r="T2583"/>
      <c r="U2583"/>
      <c r="V2583"/>
      <c r="W2583">
        <v>18</v>
      </c>
    </row>
    <row r="2584" spans="1:23">
      <c r="A2584"/>
      <c r="B2584" t="s">
        <v>72</v>
      </c>
      <c r="C2584" t="s">
        <v>72</v>
      </c>
      <c r="D2584" t="s">
        <v>33</v>
      </c>
      <c r="E2584" t="s">
        <v>34</v>
      </c>
      <c r="F2584" t="str">
        <f>"0002891"</f>
        <v>0002891</v>
      </c>
      <c r="G2584">
        <v>1</v>
      </c>
      <c r="H2584" t="str">
        <f>"00000000"</f>
        <v>00000000</v>
      </c>
      <c r="I2584" t="s">
        <v>35</v>
      </c>
      <c r="J2584"/>
      <c r="K2584">
        <v>14.93</v>
      </c>
      <c r="L2584">
        <v>0.0</v>
      </c>
      <c r="M2584"/>
      <c r="N2584"/>
      <c r="O2584">
        <v>2.69</v>
      </c>
      <c r="P2584">
        <v>0.2</v>
      </c>
      <c r="Q2584">
        <v>17.82</v>
      </c>
      <c r="R2584"/>
      <c r="S2584"/>
      <c r="T2584"/>
      <c r="U2584"/>
      <c r="V2584"/>
      <c r="W2584">
        <v>18</v>
      </c>
    </row>
    <row r="2585" spans="1:23">
      <c r="A2585"/>
      <c r="B2585" t="s">
        <v>72</v>
      </c>
      <c r="C2585" t="s">
        <v>72</v>
      </c>
      <c r="D2585" t="s">
        <v>33</v>
      </c>
      <c r="E2585" t="s">
        <v>34</v>
      </c>
      <c r="F2585" t="str">
        <f>"0002892"</f>
        <v>0002892</v>
      </c>
      <c r="G2585">
        <v>1</v>
      </c>
      <c r="H2585" t="str">
        <f>"00000000"</f>
        <v>00000000</v>
      </c>
      <c r="I2585" t="s">
        <v>35</v>
      </c>
      <c r="J2585"/>
      <c r="K2585">
        <v>19.43</v>
      </c>
      <c r="L2585">
        <v>0.0</v>
      </c>
      <c r="M2585"/>
      <c r="N2585"/>
      <c r="O2585">
        <v>3.5</v>
      </c>
      <c r="P2585">
        <v>0.2</v>
      </c>
      <c r="Q2585">
        <v>23.12</v>
      </c>
      <c r="R2585"/>
      <c r="S2585"/>
      <c r="T2585"/>
      <c r="U2585"/>
      <c r="V2585"/>
      <c r="W2585">
        <v>18</v>
      </c>
    </row>
    <row r="2586" spans="1:23">
      <c r="A2586"/>
      <c r="B2586" t="s">
        <v>72</v>
      </c>
      <c r="C2586" t="s">
        <v>72</v>
      </c>
      <c r="D2586" t="s">
        <v>33</v>
      </c>
      <c r="E2586" t="s">
        <v>34</v>
      </c>
      <c r="F2586" t="str">
        <f>"0002893"</f>
        <v>0002893</v>
      </c>
      <c r="G2586">
        <v>1</v>
      </c>
      <c r="H2586" t="str">
        <f>"00000000"</f>
        <v>00000000</v>
      </c>
      <c r="I2586" t="s">
        <v>35</v>
      </c>
      <c r="J2586"/>
      <c r="K2586">
        <v>35.43</v>
      </c>
      <c r="L2586">
        <v>0.0</v>
      </c>
      <c r="M2586"/>
      <c r="N2586"/>
      <c r="O2586">
        <v>6.38</v>
      </c>
      <c r="P2586">
        <v>0.0</v>
      </c>
      <c r="Q2586">
        <v>41.8</v>
      </c>
      <c r="R2586"/>
      <c r="S2586"/>
      <c r="T2586"/>
      <c r="U2586"/>
      <c r="V2586"/>
      <c r="W2586">
        <v>18</v>
      </c>
    </row>
    <row r="2587" spans="1:23">
      <c r="A2587"/>
      <c r="B2587" t="s">
        <v>72</v>
      </c>
      <c r="C2587" t="s">
        <v>72</v>
      </c>
      <c r="D2587" t="s">
        <v>33</v>
      </c>
      <c r="E2587" t="s">
        <v>34</v>
      </c>
      <c r="F2587" t="str">
        <f>"0002894"</f>
        <v>0002894</v>
      </c>
      <c r="G2587">
        <v>1</v>
      </c>
      <c r="H2587" t="str">
        <f>"00000000"</f>
        <v>00000000</v>
      </c>
      <c r="I2587" t="s">
        <v>35</v>
      </c>
      <c r="J2587"/>
      <c r="K2587">
        <v>9.65</v>
      </c>
      <c r="L2587">
        <v>0.0</v>
      </c>
      <c r="M2587"/>
      <c r="N2587"/>
      <c r="O2587">
        <v>1.74</v>
      </c>
      <c r="P2587">
        <v>0.0</v>
      </c>
      <c r="Q2587">
        <v>11.39</v>
      </c>
      <c r="R2587"/>
      <c r="S2587"/>
      <c r="T2587"/>
      <c r="U2587"/>
      <c r="V2587"/>
      <c r="W2587">
        <v>18</v>
      </c>
    </row>
    <row r="2588" spans="1:23">
      <c r="A2588"/>
      <c r="B2588" t="s">
        <v>72</v>
      </c>
      <c r="C2588" t="s">
        <v>72</v>
      </c>
      <c r="D2588" t="s">
        <v>33</v>
      </c>
      <c r="E2588" t="s">
        <v>34</v>
      </c>
      <c r="F2588" t="str">
        <f>"0002895"</f>
        <v>0002895</v>
      </c>
      <c r="G2588">
        <v>1</v>
      </c>
      <c r="H2588" t="str">
        <f>"00000000"</f>
        <v>00000000</v>
      </c>
      <c r="I2588" t="s">
        <v>35</v>
      </c>
      <c r="J2588"/>
      <c r="K2588">
        <v>82.79</v>
      </c>
      <c r="L2588">
        <v>0.0</v>
      </c>
      <c r="M2588"/>
      <c r="N2588"/>
      <c r="O2588">
        <v>14.9</v>
      </c>
      <c r="P2588">
        <v>0.0</v>
      </c>
      <c r="Q2588">
        <v>97.69</v>
      </c>
      <c r="R2588"/>
      <c r="S2588"/>
      <c r="T2588"/>
      <c r="U2588"/>
      <c r="V2588"/>
      <c r="W2588">
        <v>18</v>
      </c>
    </row>
    <row r="2589" spans="1:23">
      <c r="A2589"/>
      <c r="B2589" t="s">
        <v>72</v>
      </c>
      <c r="C2589" t="s">
        <v>72</v>
      </c>
      <c r="D2589" t="s">
        <v>33</v>
      </c>
      <c r="E2589" t="s">
        <v>34</v>
      </c>
      <c r="F2589" t="str">
        <f>"0002896"</f>
        <v>0002896</v>
      </c>
      <c r="G2589">
        <v>1</v>
      </c>
      <c r="H2589" t="str">
        <f>"00000000"</f>
        <v>00000000</v>
      </c>
      <c r="I2589" t="s">
        <v>35</v>
      </c>
      <c r="J2589"/>
      <c r="K2589">
        <v>7.35</v>
      </c>
      <c r="L2589">
        <v>0.0</v>
      </c>
      <c r="M2589"/>
      <c r="N2589"/>
      <c r="O2589">
        <v>1.32</v>
      </c>
      <c r="P2589">
        <v>0.0</v>
      </c>
      <c r="Q2589">
        <v>8.67</v>
      </c>
      <c r="R2589"/>
      <c r="S2589"/>
      <c r="T2589"/>
      <c r="U2589"/>
      <c r="V2589"/>
      <c r="W2589">
        <v>18</v>
      </c>
    </row>
    <row r="2590" spans="1:23">
      <c r="A2590"/>
      <c r="B2590" t="s">
        <v>72</v>
      </c>
      <c r="C2590" t="s">
        <v>72</v>
      </c>
      <c r="D2590" t="s">
        <v>33</v>
      </c>
      <c r="E2590" t="s">
        <v>34</v>
      </c>
      <c r="F2590" t="str">
        <f>"0002897"</f>
        <v>0002897</v>
      </c>
      <c r="G2590">
        <v>1</v>
      </c>
      <c r="H2590" t="str">
        <f>"00000000"</f>
        <v>00000000</v>
      </c>
      <c r="I2590" t="s">
        <v>35</v>
      </c>
      <c r="J2590"/>
      <c r="K2590">
        <v>22.39</v>
      </c>
      <c r="L2590">
        <v>0.0</v>
      </c>
      <c r="M2590"/>
      <c r="N2590"/>
      <c r="O2590">
        <v>4.03</v>
      </c>
      <c r="P2590">
        <v>0.2</v>
      </c>
      <c r="Q2590">
        <v>26.62</v>
      </c>
      <c r="R2590"/>
      <c r="S2590"/>
      <c r="T2590"/>
      <c r="U2590"/>
      <c r="V2590"/>
      <c r="W2590">
        <v>18</v>
      </c>
    </row>
    <row r="2591" spans="1:23">
      <c r="A2591"/>
      <c r="B2591" t="s">
        <v>72</v>
      </c>
      <c r="C2591" t="s">
        <v>72</v>
      </c>
      <c r="D2591" t="s">
        <v>33</v>
      </c>
      <c r="E2591" t="s">
        <v>34</v>
      </c>
      <c r="F2591" t="str">
        <f>"0002898"</f>
        <v>0002898</v>
      </c>
      <c r="G2591">
        <v>1</v>
      </c>
      <c r="H2591" t="str">
        <f>"00000000"</f>
        <v>00000000</v>
      </c>
      <c r="I2591" t="s">
        <v>35</v>
      </c>
      <c r="J2591"/>
      <c r="K2591">
        <v>108.34</v>
      </c>
      <c r="L2591">
        <v>0.0</v>
      </c>
      <c r="M2591"/>
      <c r="N2591"/>
      <c r="O2591">
        <v>19.5</v>
      </c>
      <c r="P2591">
        <v>0.4</v>
      </c>
      <c r="Q2591">
        <v>128.24</v>
      </c>
      <c r="R2591"/>
      <c r="S2591"/>
      <c r="T2591"/>
      <c r="U2591"/>
      <c r="V2591"/>
      <c r="W2591">
        <v>18</v>
      </c>
    </row>
    <row r="2592" spans="1:23">
      <c r="A2592"/>
      <c r="B2592" t="s">
        <v>72</v>
      </c>
      <c r="C2592" t="s">
        <v>72</v>
      </c>
      <c r="D2592" t="s">
        <v>33</v>
      </c>
      <c r="E2592" t="s">
        <v>34</v>
      </c>
      <c r="F2592" t="str">
        <f>"0002899"</f>
        <v>0002899</v>
      </c>
      <c r="G2592">
        <v>1</v>
      </c>
      <c r="H2592" t="str">
        <f>"00000000"</f>
        <v>00000000</v>
      </c>
      <c r="I2592" t="s">
        <v>35</v>
      </c>
      <c r="J2592"/>
      <c r="K2592">
        <v>6.27</v>
      </c>
      <c r="L2592">
        <v>0.0</v>
      </c>
      <c r="M2592"/>
      <c r="N2592"/>
      <c r="O2592">
        <v>1.13</v>
      </c>
      <c r="P2592">
        <v>0.0</v>
      </c>
      <c r="Q2592">
        <v>7.4</v>
      </c>
      <c r="R2592"/>
      <c r="S2592"/>
      <c r="T2592"/>
      <c r="U2592"/>
      <c r="V2592"/>
      <c r="W2592">
        <v>18</v>
      </c>
    </row>
    <row r="2593" spans="1:23">
      <c r="A2593"/>
      <c r="B2593" t="s">
        <v>72</v>
      </c>
      <c r="C2593" t="s">
        <v>72</v>
      </c>
      <c r="D2593" t="s">
        <v>33</v>
      </c>
      <c r="E2593" t="s">
        <v>34</v>
      </c>
      <c r="F2593" t="str">
        <f>"0002900"</f>
        <v>0002900</v>
      </c>
      <c r="G2593">
        <v>1</v>
      </c>
      <c r="H2593" t="str">
        <f>"00000000"</f>
        <v>00000000</v>
      </c>
      <c r="I2593" t="s">
        <v>35</v>
      </c>
      <c r="J2593"/>
      <c r="K2593">
        <v>2.54</v>
      </c>
      <c r="L2593">
        <v>0.0</v>
      </c>
      <c r="M2593"/>
      <c r="N2593"/>
      <c r="O2593">
        <v>0.46</v>
      </c>
      <c r="P2593">
        <v>0.0</v>
      </c>
      <c r="Q2593">
        <v>3.0</v>
      </c>
      <c r="R2593"/>
      <c r="S2593"/>
      <c r="T2593"/>
      <c r="U2593"/>
      <c r="V2593"/>
      <c r="W2593">
        <v>18</v>
      </c>
    </row>
    <row r="2594" spans="1:23">
      <c r="A2594"/>
      <c r="B2594" t="s">
        <v>72</v>
      </c>
      <c r="C2594" t="s">
        <v>72</v>
      </c>
      <c r="D2594" t="s">
        <v>33</v>
      </c>
      <c r="E2594" t="s">
        <v>34</v>
      </c>
      <c r="F2594" t="str">
        <f>"0002901"</f>
        <v>0002901</v>
      </c>
      <c r="G2594">
        <v>1</v>
      </c>
      <c r="H2594" t="str">
        <f>"00000000"</f>
        <v>00000000</v>
      </c>
      <c r="I2594" t="s">
        <v>35</v>
      </c>
      <c r="J2594"/>
      <c r="K2594">
        <v>2.56</v>
      </c>
      <c r="L2594">
        <v>0.0</v>
      </c>
      <c r="M2594"/>
      <c r="N2594"/>
      <c r="O2594">
        <v>0.46</v>
      </c>
      <c r="P2594">
        <v>0.2</v>
      </c>
      <c r="Q2594">
        <v>3.22</v>
      </c>
      <c r="R2594"/>
      <c r="S2594"/>
      <c r="T2594"/>
      <c r="U2594"/>
      <c r="V2594"/>
      <c r="W2594">
        <v>18</v>
      </c>
    </row>
    <row r="2595" spans="1:23">
      <c r="A2595"/>
      <c r="B2595" t="s">
        <v>72</v>
      </c>
      <c r="C2595" t="s">
        <v>72</v>
      </c>
      <c r="D2595" t="s">
        <v>33</v>
      </c>
      <c r="E2595" t="s">
        <v>34</v>
      </c>
      <c r="F2595" t="str">
        <f>"0002902"</f>
        <v>0002902</v>
      </c>
      <c r="G2595">
        <v>1</v>
      </c>
      <c r="H2595" t="str">
        <f>"00000000"</f>
        <v>00000000</v>
      </c>
      <c r="I2595" t="s">
        <v>35</v>
      </c>
      <c r="J2595"/>
      <c r="K2595">
        <v>2.71</v>
      </c>
      <c r="L2595">
        <v>0.0</v>
      </c>
      <c r="M2595"/>
      <c r="N2595"/>
      <c r="O2595">
        <v>0.49</v>
      </c>
      <c r="P2595">
        <v>0.0</v>
      </c>
      <c r="Q2595">
        <v>3.2</v>
      </c>
      <c r="R2595"/>
      <c r="S2595"/>
      <c r="T2595"/>
      <c r="U2595"/>
      <c r="V2595"/>
      <c r="W2595">
        <v>18</v>
      </c>
    </row>
    <row r="2596" spans="1:23">
      <c r="A2596"/>
      <c r="B2596" t="s">
        <v>72</v>
      </c>
      <c r="C2596" t="s">
        <v>72</v>
      </c>
      <c r="D2596" t="s">
        <v>33</v>
      </c>
      <c r="E2596" t="s">
        <v>34</v>
      </c>
      <c r="F2596" t="str">
        <f>"0002903"</f>
        <v>0002903</v>
      </c>
      <c r="G2596">
        <v>1</v>
      </c>
      <c r="H2596" t="str">
        <f>"00000000"</f>
        <v>00000000</v>
      </c>
      <c r="I2596" t="s">
        <v>35</v>
      </c>
      <c r="J2596"/>
      <c r="K2596">
        <v>27.73</v>
      </c>
      <c r="L2596">
        <v>0.0</v>
      </c>
      <c r="M2596"/>
      <c r="N2596"/>
      <c r="O2596">
        <v>4.99</v>
      </c>
      <c r="P2596">
        <v>0.2</v>
      </c>
      <c r="Q2596">
        <v>32.92</v>
      </c>
      <c r="R2596"/>
      <c r="S2596"/>
      <c r="T2596"/>
      <c r="U2596"/>
      <c r="V2596"/>
      <c r="W2596">
        <v>18</v>
      </c>
    </row>
    <row r="2597" spans="1:23">
      <c r="A2597"/>
      <c r="B2597" t="s">
        <v>72</v>
      </c>
      <c r="C2597" t="s">
        <v>72</v>
      </c>
      <c r="D2597" t="s">
        <v>33</v>
      </c>
      <c r="E2597" t="s">
        <v>34</v>
      </c>
      <c r="F2597" t="str">
        <f>"0002904"</f>
        <v>0002904</v>
      </c>
      <c r="G2597">
        <v>1</v>
      </c>
      <c r="H2597" t="str">
        <f>"00000000"</f>
        <v>00000000</v>
      </c>
      <c r="I2597" t="s">
        <v>35</v>
      </c>
      <c r="J2597"/>
      <c r="K2597">
        <v>12.94</v>
      </c>
      <c r="L2597">
        <v>0.0</v>
      </c>
      <c r="M2597"/>
      <c r="N2597"/>
      <c r="O2597">
        <v>2.33</v>
      </c>
      <c r="P2597">
        <v>0.2</v>
      </c>
      <c r="Q2597">
        <v>15.47</v>
      </c>
      <c r="R2597"/>
      <c r="S2597"/>
      <c r="T2597"/>
      <c r="U2597"/>
      <c r="V2597"/>
      <c r="W2597">
        <v>18</v>
      </c>
    </row>
    <row r="2598" spans="1:23">
      <c r="A2598"/>
      <c r="B2598" t="s">
        <v>72</v>
      </c>
      <c r="C2598" t="s">
        <v>72</v>
      </c>
      <c r="D2598" t="s">
        <v>33</v>
      </c>
      <c r="E2598" t="s">
        <v>34</v>
      </c>
      <c r="F2598" t="str">
        <f>"0002905"</f>
        <v>0002905</v>
      </c>
      <c r="G2598">
        <v>1</v>
      </c>
      <c r="H2598" t="str">
        <f>"00000000"</f>
        <v>00000000</v>
      </c>
      <c r="I2598" t="s">
        <v>35</v>
      </c>
      <c r="J2598"/>
      <c r="K2598">
        <v>6.69</v>
      </c>
      <c r="L2598">
        <v>0.0</v>
      </c>
      <c r="M2598"/>
      <c r="N2598"/>
      <c r="O2598">
        <v>1.21</v>
      </c>
      <c r="P2598">
        <v>0.0</v>
      </c>
      <c r="Q2598">
        <v>7.9</v>
      </c>
      <c r="R2598"/>
      <c r="S2598"/>
      <c r="T2598"/>
      <c r="U2598"/>
      <c r="V2598"/>
      <c r="W2598">
        <v>18</v>
      </c>
    </row>
    <row r="2599" spans="1:23">
      <c r="A2599"/>
      <c r="B2599" t="s">
        <v>72</v>
      </c>
      <c r="C2599" t="s">
        <v>72</v>
      </c>
      <c r="D2599" t="s">
        <v>33</v>
      </c>
      <c r="E2599" t="s">
        <v>34</v>
      </c>
      <c r="F2599" t="str">
        <f>"0002906"</f>
        <v>0002906</v>
      </c>
      <c r="G2599">
        <v>1</v>
      </c>
      <c r="H2599" t="str">
        <f>"00000000"</f>
        <v>00000000</v>
      </c>
      <c r="I2599" t="s">
        <v>35</v>
      </c>
      <c r="J2599"/>
      <c r="K2599">
        <v>60.7</v>
      </c>
      <c r="L2599">
        <v>0.0</v>
      </c>
      <c r="M2599"/>
      <c r="N2599"/>
      <c r="O2599">
        <v>10.93</v>
      </c>
      <c r="P2599">
        <v>0.4</v>
      </c>
      <c r="Q2599">
        <v>72.03</v>
      </c>
      <c r="R2599"/>
      <c r="S2599"/>
      <c r="T2599"/>
      <c r="U2599"/>
      <c r="V2599"/>
      <c r="W2599">
        <v>18</v>
      </c>
    </row>
    <row r="2600" spans="1:23">
      <c r="A2600"/>
      <c r="B2600" t="s">
        <v>72</v>
      </c>
      <c r="C2600" t="s">
        <v>72</v>
      </c>
      <c r="D2600" t="s">
        <v>33</v>
      </c>
      <c r="E2600" t="s">
        <v>34</v>
      </c>
      <c r="F2600" t="str">
        <f>"0002907"</f>
        <v>0002907</v>
      </c>
      <c r="G2600">
        <v>1</v>
      </c>
      <c r="H2600" t="str">
        <f>"00000000"</f>
        <v>00000000</v>
      </c>
      <c r="I2600" t="s">
        <v>35</v>
      </c>
      <c r="J2600"/>
      <c r="K2600">
        <v>2.15</v>
      </c>
      <c r="L2600">
        <v>0.0</v>
      </c>
      <c r="M2600"/>
      <c r="N2600"/>
      <c r="O2600">
        <v>0.39</v>
      </c>
      <c r="P2600">
        <v>0.0</v>
      </c>
      <c r="Q2600">
        <v>2.53</v>
      </c>
      <c r="R2600"/>
      <c r="S2600"/>
      <c r="T2600"/>
      <c r="U2600"/>
      <c r="V2600"/>
      <c r="W2600">
        <v>18</v>
      </c>
    </row>
    <row r="2601" spans="1:23">
      <c r="A2601"/>
      <c r="B2601" t="s">
        <v>72</v>
      </c>
      <c r="C2601" t="s">
        <v>72</v>
      </c>
      <c r="D2601" t="s">
        <v>33</v>
      </c>
      <c r="E2601" t="s">
        <v>34</v>
      </c>
      <c r="F2601" t="str">
        <f>"0002908"</f>
        <v>0002908</v>
      </c>
      <c r="G2601">
        <v>1</v>
      </c>
      <c r="H2601" t="str">
        <f>"00000000"</f>
        <v>00000000</v>
      </c>
      <c r="I2601" t="s">
        <v>35</v>
      </c>
      <c r="J2601"/>
      <c r="K2601">
        <v>28.75</v>
      </c>
      <c r="L2601">
        <v>0.0</v>
      </c>
      <c r="M2601"/>
      <c r="N2601"/>
      <c r="O2601">
        <v>5.17</v>
      </c>
      <c r="P2601">
        <v>0.2</v>
      </c>
      <c r="Q2601">
        <v>34.12</v>
      </c>
      <c r="R2601"/>
      <c r="S2601"/>
      <c r="T2601"/>
      <c r="U2601"/>
      <c r="V2601"/>
      <c r="W2601">
        <v>18</v>
      </c>
    </row>
    <row r="2602" spans="1:23">
      <c r="A2602"/>
      <c r="B2602" t="s">
        <v>72</v>
      </c>
      <c r="C2602" t="s">
        <v>72</v>
      </c>
      <c r="D2602" t="s">
        <v>33</v>
      </c>
      <c r="E2602" t="s">
        <v>34</v>
      </c>
      <c r="F2602" t="str">
        <f>"0002909"</f>
        <v>0002909</v>
      </c>
      <c r="G2602">
        <v>1</v>
      </c>
      <c r="H2602" t="str">
        <f>"00000000"</f>
        <v>00000000</v>
      </c>
      <c r="I2602" t="s">
        <v>35</v>
      </c>
      <c r="J2602"/>
      <c r="K2602">
        <v>35.72</v>
      </c>
      <c r="L2602">
        <v>0.0</v>
      </c>
      <c r="M2602"/>
      <c r="N2602"/>
      <c r="O2602">
        <v>6.43</v>
      </c>
      <c r="P2602">
        <v>0.4</v>
      </c>
      <c r="Q2602">
        <v>42.55</v>
      </c>
      <c r="R2602"/>
      <c r="S2602"/>
      <c r="T2602"/>
      <c r="U2602"/>
      <c r="V2602"/>
      <c r="W2602">
        <v>18</v>
      </c>
    </row>
    <row r="2603" spans="1:23">
      <c r="A2603"/>
      <c r="B2603" t="s">
        <v>72</v>
      </c>
      <c r="C2603" t="s">
        <v>72</v>
      </c>
      <c r="D2603" t="s">
        <v>33</v>
      </c>
      <c r="E2603" t="s">
        <v>34</v>
      </c>
      <c r="F2603" t="str">
        <f>"0002910"</f>
        <v>0002910</v>
      </c>
      <c r="G2603">
        <v>1</v>
      </c>
      <c r="H2603" t="str">
        <f>"00000000"</f>
        <v>00000000</v>
      </c>
      <c r="I2603" t="s">
        <v>35</v>
      </c>
      <c r="J2603"/>
      <c r="K2603">
        <v>35.86</v>
      </c>
      <c r="L2603">
        <v>0.0</v>
      </c>
      <c r="M2603"/>
      <c r="N2603"/>
      <c r="O2603">
        <v>6.46</v>
      </c>
      <c r="P2603">
        <v>0.2</v>
      </c>
      <c r="Q2603">
        <v>42.52</v>
      </c>
      <c r="R2603"/>
      <c r="S2603"/>
      <c r="T2603"/>
      <c r="U2603"/>
      <c r="V2603"/>
      <c r="W2603">
        <v>18</v>
      </c>
    </row>
    <row r="2604" spans="1:23">
      <c r="A2604"/>
      <c r="B2604" t="s">
        <v>72</v>
      </c>
      <c r="C2604" t="s">
        <v>72</v>
      </c>
      <c r="D2604" t="s">
        <v>33</v>
      </c>
      <c r="E2604" t="s">
        <v>34</v>
      </c>
      <c r="F2604" t="str">
        <f>"0002911"</f>
        <v>0002911</v>
      </c>
      <c r="G2604">
        <v>1</v>
      </c>
      <c r="H2604" t="str">
        <f>"00000000"</f>
        <v>00000000</v>
      </c>
      <c r="I2604" t="s">
        <v>35</v>
      </c>
      <c r="J2604"/>
      <c r="K2604">
        <v>62.75</v>
      </c>
      <c r="L2604">
        <v>0.0</v>
      </c>
      <c r="M2604"/>
      <c r="N2604"/>
      <c r="O2604">
        <v>11.29</v>
      </c>
      <c r="P2604">
        <v>0.4</v>
      </c>
      <c r="Q2604">
        <v>74.44</v>
      </c>
      <c r="R2604"/>
      <c r="S2604"/>
      <c r="T2604"/>
      <c r="U2604"/>
      <c r="V2604"/>
      <c r="W2604">
        <v>18</v>
      </c>
    </row>
    <row r="2605" spans="1:23">
      <c r="A2605"/>
      <c r="B2605" t="s">
        <v>72</v>
      </c>
      <c r="C2605" t="s">
        <v>72</v>
      </c>
      <c r="D2605" t="s">
        <v>33</v>
      </c>
      <c r="E2605" t="s">
        <v>34</v>
      </c>
      <c r="F2605" t="str">
        <f>"0002912"</f>
        <v>0002912</v>
      </c>
      <c r="G2605">
        <v>1</v>
      </c>
      <c r="H2605" t="str">
        <f>"00000000"</f>
        <v>00000000</v>
      </c>
      <c r="I2605" t="s">
        <v>35</v>
      </c>
      <c r="J2605"/>
      <c r="K2605">
        <v>9.97</v>
      </c>
      <c r="L2605">
        <v>0.0</v>
      </c>
      <c r="M2605"/>
      <c r="N2605"/>
      <c r="O2605">
        <v>1.79</v>
      </c>
      <c r="P2605">
        <v>0.0</v>
      </c>
      <c r="Q2605">
        <v>11.76</v>
      </c>
      <c r="R2605"/>
      <c r="S2605"/>
      <c r="T2605"/>
      <c r="U2605"/>
      <c r="V2605"/>
      <c r="W2605">
        <v>18</v>
      </c>
    </row>
    <row r="2606" spans="1:23">
      <c r="A2606"/>
      <c r="B2606" t="s">
        <v>72</v>
      </c>
      <c r="C2606" t="s">
        <v>72</v>
      </c>
      <c r="D2606" t="s">
        <v>36</v>
      </c>
      <c r="E2606" t="s">
        <v>37</v>
      </c>
      <c r="F2606" t="str">
        <f>"0000038"</f>
        <v>0000038</v>
      </c>
      <c r="G2606">
        <v>6</v>
      </c>
      <c r="H2606" t="str">
        <f>"20477405330"</f>
        <v>20477405330</v>
      </c>
      <c r="I2606" t="s">
        <v>73</v>
      </c>
      <c r="J2606"/>
      <c r="K2606">
        <v>12.73</v>
      </c>
      <c r="L2606">
        <v>0.0</v>
      </c>
      <c r="M2606"/>
      <c r="N2606"/>
      <c r="O2606">
        <v>2.29</v>
      </c>
      <c r="P2606">
        <v>0.2</v>
      </c>
      <c r="Q2606">
        <v>15.22</v>
      </c>
      <c r="R2606"/>
      <c r="S2606"/>
      <c r="T2606"/>
      <c r="U2606"/>
      <c r="V2606"/>
      <c r="W2606">
        <v>18</v>
      </c>
    </row>
    <row r="2607" spans="1:23">
      <c r="A2607"/>
      <c r="B2607" t="s">
        <v>72</v>
      </c>
      <c r="C2607" t="s">
        <v>72</v>
      </c>
      <c r="D2607" t="s">
        <v>33</v>
      </c>
      <c r="E2607" t="s">
        <v>34</v>
      </c>
      <c r="F2607" t="str">
        <f>"0002913"</f>
        <v>0002913</v>
      </c>
      <c r="G2607">
        <v>1</v>
      </c>
      <c r="H2607" t="str">
        <f>"00000000"</f>
        <v>00000000</v>
      </c>
      <c r="I2607" t="s">
        <v>35</v>
      </c>
      <c r="J2607"/>
      <c r="K2607">
        <v>0.02</v>
      </c>
      <c r="L2607">
        <v>0.0</v>
      </c>
      <c r="M2607"/>
      <c r="N2607"/>
      <c r="O2607">
        <v>0.0</v>
      </c>
      <c r="P2607">
        <v>0.2</v>
      </c>
      <c r="Q2607">
        <v>0.22</v>
      </c>
      <c r="R2607"/>
      <c r="S2607"/>
      <c r="T2607"/>
      <c r="U2607"/>
      <c r="V2607"/>
      <c r="W2607">
        <v>18</v>
      </c>
    </row>
    <row r="2608" spans="1:23">
      <c r="A2608"/>
      <c r="B2608" t="s">
        <v>72</v>
      </c>
      <c r="C2608" t="s">
        <v>72</v>
      </c>
      <c r="D2608" t="s">
        <v>33</v>
      </c>
      <c r="E2608" t="s">
        <v>34</v>
      </c>
      <c r="F2608" t="str">
        <f>"0002914"</f>
        <v>0002914</v>
      </c>
      <c r="G2608">
        <v>1</v>
      </c>
      <c r="H2608" t="str">
        <f>"00000000"</f>
        <v>00000000</v>
      </c>
      <c r="I2608" t="s">
        <v>35</v>
      </c>
      <c r="J2608"/>
      <c r="K2608">
        <v>7.63</v>
      </c>
      <c r="L2608">
        <v>0.0</v>
      </c>
      <c r="M2608"/>
      <c r="N2608"/>
      <c r="O2608">
        <v>1.37</v>
      </c>
      <c r="P2608">
        <v>0.0</v>
      </c>
      <c r="Q2608">
        <v>9.0</v>
      </c>
      <c r="R2608"/>
      <c r="S2608"/>
      <c r="T2608"/>
      <c r="U2608"/>
      <c r="V2608"/>
      <c r="W2608">
        <v>18</v>
      </c>
    </row>
    <row r="2609" spans="1:23">
      <c r="A2609"/>
      <c r="B2609" t="s">
        <v>72</v>
      </c>
      <c r="C2609" t="s">
        <v>72</v>
      </c>
      <c r="D2609" t="s">
        <v>33</v>
      </c>
      <c r="E2609" t="s">
        <v>34</v>
      </c>
      <c r="F2609" t="str">
        <f>"0002915"</f>
        <v>0002915</v>
      </c>
      <c r="G2609">
        <v>1</v>
      </c>
      <c r="H2609" t="str">
        <f>"00000000"</f>
        <v>00000000</v>
      </c>
      <c r="I2609" t="s">
        <v>35</v>
      </c>
      <c r="J2609"/>
      <c r="K2609">
        <v>10.1</v>
      </c>
      <c r="L2609">
        <v>0.0</v>
      </c>
      <c r="M2609"/>
      <c r="N2609"/>
      <c r="O2609">
        <v>1.82</v>
      </c>
      <c r="P2609">
        <v>0.2</v>
      </c>
      <c r="Q2609">
        <v>12.12</v>
      </c>
      <c r="R2609"/>
      <c r="S2609"/>
      <c r="T2609"/>
      <c r="U2609"/>
      <c r="V2609"/>
      <c r="W2609">
        <v>18</v>
      </c>
    </row>
    <row r="2610" spans="1:23">
      <c r="A2610"/>
      <c r="B2610" t="s">
        <v>72</v>
      </c>
      <c r="C2610" t="s">
        <v>72</v>
      </c>
      <c r="D2610" t="s">
        <v>33</v>
      </c>
      <c r="E2610" t="s">
        <v>34</v>
      </c>
      <c r="F2610" t="str">
        <f>"0002916"</f>
        <v>0002916</v>
      </c>
      <c r="G2610">
        <v>1</v>
      </c>
      <c r="H2610" t="str">
        <f>"00000000"</f>
        <v>00000000</v>
      </c>
      <c r="I2610" t="s">
        <v>35</v>
      </c>
      <c r="J2610"/>
      <c r="K2610">
        <v>51.38</v>
      </c>
      <c r="L2610">
        <v>0.0</v>
      </c>
      <c r="M2610"/>
      <c r="N2610"/>
      <c r="O2610">
        <v>9.25</v>
      </c>
      <c r="P2610">
        <v>0.2</v>
      </c>
      <c r="Q2610">
        <v>60.83</v>
      </c>
      <c r="R2610"/>
      <c r="S2610"/>
      <c r="T2610"/>
      <c r="U2610"/>
      <c r="V2610"/>
      <c r="W2610">
        <v>18</v>
      </c>
    </row>
    <row r="2611" spans="1:23">
      <c r="A2611"/>
      <c r="B2611" t="s">
        <v>72</v>
      </c>
      <c r="C2611" t="s">
        <v>72</v>
      </c>
      <c r="D2611" t="s">
        <v>33</v>
      </c>
      <c r="E2611" t="s">
        <v>34</v>
      </c>
      <c r="F2611" t="str">
        <f>"0002917"</f>
        <v>0002917</v>
      </c>
      <c r="G2611">
        <v>1</v>
      </c>
      <c r="H2611" t="str">
        <f>"00000000"</f>
        <v>00000000</v>
      </c>
      <c r="I2611" t="s">
        <v>35</v>
      </c>
      <c r="J2611"/>
      <c r="K2611">
        <v>6.69</v>
      </c>
      <c r="L2611">
        <v>0.0</v>
      </c>
      <c r="M2611"/>
      <c r="N2611"/>
      <c r="O2611">
        <v>1.21</v>
      </c>
      <c r="P2611">
        <v>0.0</v>
      </c>
      <c r="Q2611">
        <v>7.9</v>
      </c>
      <c r="R2611"/>
      <c r="S2611"/>
      <c r="T2611"/>
      <c r="U2611"/>
      <c r="V2611"/>
      <c r="W2611">
        <v>18</v>
      </c>
    </row>
    <row r="2612" spans="1:23">
      <c r="A2612"/>
      <c r="B2612" t="s">
        <v>72</v>
      </c>
      <c r="C2612" t="s">
        <v>72</v>
      </c>
      <c r="D2612" t="s">
        <v>33</v>
      </c>
      <c r="E2612" t="s">
        <v>34</v>
      </c>
      <c r="F2612" t="str">
        <f>"0002918"</f>
        <v>0002918</v>
      </c>
      <c r="G2612">
        <v>1</v>
      </c>
      <c r="H2612" t="str">
        <f>"00000000"</f>
        <v>00000000</v>
      </c>
      <c r="I2612" t="s">
        <v>35</v>
      </c>
      <c r="J2612"/>
      <c r="K2612">
        <v>13.98</v>
      </c>
      <c r="L2612">
        <v>0.0</v>
      </c>
      <c r="M2612"/>
      <c r="N2612"/>
      <c r="O2612">
        <v>2.52</v>
      </c>
      <c r="P2612">
        <v>0.0</v>
      </c>
      <c r="Q2612">
        <v>16.5</v>
      </c>
      <c r="R2612"/>
      <c r="S2612"/>
      <c r="T2612"/>
      <c r="U2612"/>
      <c r="V2612"/>
      <c r="W2612">
        <v>18</v>
      </c>
    </row>
    <row r="2613" spans="1:23">
      <c r="A2613"/>
      <c r="B2613" t="s">
        <v>72</v>
      </c>
      <c r="C2613" t="s">
        <v>72</v>
      </c>
      <c r="D2613" t="s">
        <v>33</v>
      </c>
      <c r="E2613" t="s">
        <v>34</v>
      </c>
      <c r="F2613" t="str">
        <f>"0002919"</f>
        <v>0002919</v>
      </c>
      <c r="G2613">
        <v>1</v>
      </c>
      <c r="H2613" t="str">
        <f>"00000000"</f>
        <v>00000000</v>
      </c>
      <c r="I2613" t="s">
        <v>35</v>
      </c>
      <c r="J2613"/>
      <c r="K2613">
        <v>24.93</v>
      </c>
      <c r="L2613">
        <v>0.0</v>
      </c>
      <c r="M2613"/>
      <c r="N2613"/>
      <c r="O2613">
        <v>4.49</v>
      </c>
      <c r="P2613">
        <v>0.2</v>
      </c>
      <c r="Q2613">
        <v>29.62</v>
      </c>
      <c r="R2613"/>
      <c r="S2613"/>
      <c r="T2613"/>
      <c r="U2613"/>
      <c r="V2613"/>
      <c r="W2613">
        <v>18</v>
      </c>
    </row>
    <row r="2614" spans="1:23">
      <c r="A2614"/>
      <c r="B2614" t="s">
        <v>72</v>
      </c>
      <c r="C2614" t="s">
        <v>72</v>
      </c>
      <c r="D2614" t="s">
        <v>33</v>
      </c>
      <c r="E2614" t="s">
        <v>34</v>
      </c>
      <c r="F2614" t="str">
        <f>"0002920"</f>
        <v>0002920</v>
      </c>
      <c r="G2614">
        <v>1</v>
      </c>
      <c r="H2614" t="str">
        <f>"00000000"</f>
        <v>00000000</v>
      </c>
      <c r="I2614" t="s">
        <v>35</v>
      </c>
      <c r="J2614"/>
      <c r="K2614">
        <v>17.47</v>
      </c>
      <c r="L2614">
        <v>0.0</v>
      </c>
      <c r="M2614"/>
      <c r="N2614"/>
      <c r="O2614">
        <v>3.14</v>
      </c>
      <c r="P2614">
        <v>0.2</v>
      </c>
      <c r="Q2614">
        <v>20.82</v>
      </c>
      <c r="R2614"/>
      <c r="S2614"/>
      <c r="T2614"/>
      <c r="U2614"/>
      <c r="V2614"/>
      <c r="W2614">
        <v>18</v>
      </c>
    </row>
    <row r="2615" spans="1:23">
      <c r="A2615"/>
      <c r="B2615" t="s">
        <v>72</v>
      </c>
      <c r="C2615" t="s">
        <v>72</v>
      </c>
      <c r="D2615" t="s">
        <v>33</v>
      </c>
      <c r="E2615" t="s">
        <v>34</v>
      </c>
      <c r="F2615" t="str">
        <f>"0002921"</f>
        <v>0002921</v>
      </c>
      <c r="G2615">
        <v>1</v>
      </c>
      <c r="H2615" t="str">
        <f>"00000000"</f>
        <v>00000000</v>
      </c>
      <c r="I2615" t="s">
        <v>35</v>
      </c>
      <c r="J2615"/>
      <c r="K2615">
        <v>3.36</v>
      </c>
      <c r="L2615">
        <v>0.0</v>
      </c>
      <c r="M2615"/>
      <c r="N2615"/>
      <c r="O2615">
        <v>0.6</v>
      </c>
      <c r="P2615">
        <v>0.0</v>
      </c>
      <c r="Q2615">
        <v>3.96</v>
      </c>
      <c r="R2615"/>
      <c r="S2615"/>
      <c r="T2615"/>
      <c r="U2615"/>
      <c r="V2615"/>
      <c r="W2615">
        <v>18</v>
      </c>
    </row>
    <row r="2616" spans="1:23">
      <c r="A2616"/>
      <c r="B2616" t="s">
        <v>72</v>
      </c>
      <c r="C2616" t="s">
        <v>72</v>
      </c>
      <c r="D2616" t="s">
        <v>33</v>
      </c>
      <c r="E2616" t="s">
        <v>34</v>
      </c>
      <c r="F2616" t="str">
        <f>"0002922"</f>
        <v>0002922</v>
      </c>
      <c r="G2616">
        <v>1</v>
      </c>
      <c r="H2616" t="str">
        <f>"00000000"</f>
        <v>00000000</v>
      </c>
      <c r="I2616" t="s">
        <v>35</v>
      </c>
      <c r="J2616"/>
      <c r="K2616">
        <v>22.9</v>
      </c>
      <c r="L2616">
        <v>0.0</v>
      </c>
      <c r="M2616"/>
      <c r="N2616"/>
      <c r="O2616">
        <v>4.12</v>
      </c>
      <c r="P2616">
        <v>0.2</v>
      </c>
      <c r="Q2616">
        <v>27.22</v>
      </c>
      <c r="R2616"/>
      <c r="S2616"/>
      <c r="T2616"/>
      <c r="U2616"/>
      <c r="V2616"/>
      <c r="W2616">
        <v>18</v>
      </c>
    </row>
    <row r="2617" spans="1:23">
      <c r="A2617"/>
      <c r="B2617" t="s">
        <v>72</v>
      </c>
      <c r="C2617" t="s">
        <v>72</v>
      </c>
      <c r="D2617" t="s">
        <v>33</v>
      </c>
      <c r="E2617" t="s">
        <v>34</v>
      </c>
      <c r="F2617" t="str">
        <f>"0002923"</f>
        <v>0002923</v>
      </c>
      <c r="G2617">
        <v>1</v>
      </c>
      <c r="H2617" t="str">
        <f>"00000000"</f>
        <v>00000000</v>
      </c>
      <c r="I2617" t="s">
        <v>35</v>
      </c>
      <c r="J2617"/>
      <c r="K2617">
        <v>108.68</v>
      </c>
      <c r="L2617">
        <v>0.0</v>
      </c>
      <c r="M2617"/>
      <c r="N2617"/>
      <c r="O2617">
        <v>19.56</v>
      </c>
      <c r="P2617">
        <v>0.4</v>
      </c>
      <c r="Q2617">
        <v>128.64</v>
      </c>
      <c r="R2617"/>
      <c r="S2617"/>
      <c r="T2617"/>
      <c r="U2617"/>
      <c r="V2617"/>
      <c r="W2617">
        <v>18</v>
      </c>
    </row>
    <row r="2618" spans="1:23">
      <c r="A2618"/>
      <c r="B2618" t="s">
        <v>72</v>
      </c>
      <c r="C2618" t="s">
        <v>72</v>
      </c>
      <c r="D2618" t="s">
        <v>33</v>
      </c>
      <c r="E2618" t="s">
        <v>34</v>
      </c>
      <c r="F2618" t="str">
        <f>"0002924"</f>
        <v>0002924</v>
      </c>
      <c r="G2618">
        <v>1</v>
      </c>
      <c r="H2618" t="str">
        <f>"00000000"</f>
        <v>00000000</v>
      </c>
      <c r="I2618" t="s">
        <v>35</v>
      </c>
      <c r="J2618"/>
      <c r="K2618">
        <v>7.2</v>
      </c>
      <c r="L2618">
        <v>0.0</v>
      </c>
      <c r="M2618"/>
      <c r="N2618"/>
      <c r="O2618">
        <v>1.3</v>
      </c>
      <c r="P2618">
        <v>0.0</v>
      </c>
      <c r="Q2618">
        <v>8.5</v>
      </c>
      <c r="R2618"/>
      <c r="S2618"/>
      <c r="T2618"/>
      <c r="U2618"/>
      <c r="V2618"/>
      <c r="W2618">
        <v>18</v>
      </c>
    </row>
    <row r="2619" spans="1:23">
      <c r="A2619"/>
      <c r="B2619" t="s">
        <v>72</v>
      </c>
      <c r="C2619" t="s">
        <v>72</v>
      </c>
      <c r="D2619" t="s">
        <v>33</v>
      </c>
      <c r="E2619" t="s">
        <v>34</v>
      </c>
      <c r="F2619" t="str">
        <f>"0002925"</f>
        <v>0002925</v>
      </c>
      <c r="G2619">
        <v>1</v>
      </c>
      <c r="H2619" t="str">
        <f>"00000000"</f>
        <v>00000000</v>
      </c>
      <c r="I2619" t="s">
        <v>35</v>
      </c>
      <c r="J2619"/>
      <c r="K2619">
        <v>36.44</v>
      </c>
      <c r="L2619">
        <v>0.0</v>
      </c>
      <c r="M2619"/>
      <c r="N2619"/>
      <c r="O2619">
        <v>6.56</v>
      </c>
      <c r="P2619">
        <v>0.0</v>
      </c>
      <c r="Q2619">
        <v>43.0</v>
      </c>
      <c r="R2619"/>
      <c r="S2619"/>
      <c r="T2619"/>
      <c r="U2619"/>
      <c r="V2619"/>
      <c r="W2619">
        <v>18</v>
      </c>
    </row>
    <row r="2620" spans="1:23">
      <c r="A2620"/>
      <c r="B2620" t="s">
        <v>72</v>
      </c>
      <c r="C2620" t="s">
        <v>72</v>
      </c>
      <c r="D2620" t="s">
        <v>33</v>
      </c>
      <c r="E2620" t="s">
        <v>34</v>
      </c>
      <c r="F2620" t="str">
        <f>"0002926"</f>
        <v>0002926</v>
      </c>
      <c r="G2620">
        <v>1</v>
      </c>
      <c r="H2620" t="str">
        <f>"00000000"</f>
        <v>00000000</v>
      </c>
      <c r="I2620" t="s">
        <v>35</v>
      </c>
      <c r="J2620"/>
      <c r="K2620">
        <v>30.1</v>
      </c>
      <c r="L2620">
        <v>0.0</v>
      </c>
      <c r="M2620"/>
      <c r="N2620"/>
      <c r="O2620">
        <v>5.42</v>
      </c>
      <c r="P2620">
        <v>0.2</v>
      </c>
      <c r="Q2620">
        <v>35.72</v>
      </c>
      <c r="R2620"/>
      <c r="S2620"/>
      <c r="T2620"/>
      <c r="U2620"/>
      <c r="V2620"/>
      <c r="W2620">
        <v>18</v>
      </c>
    </row>
    <row r="2621" spans="1:23">
      <c r="A2621"/>
      <c r="B2621" t="s">
        <v>72</v>
      </c>
      <c r="C2621" t="s">
        <v>72</v>
      </c>
      <c r="D2621" t="s">
        <v>33</v>
      </c>
      <c r="E2621" t="s">
        <v>34</v>
      </c>
      <c r="F2621" t="str">
        <f>"0002927"</f>
        <v>0002927</v>
      </c>
      <c r="G2621">
        <v>1</v>
      </c>
      <c r="H2621" t="str">
        <f>"00000000"</f>
        <v>00000000</v>
      </c>
      <c r="I2621" t="s">
        <v>35</v>
      </c>
      <c r="J2621"/>
      <c r="K2621">
        <v>8.05</v>
      </c>
      <c r="L2621">
        <v>0.0</v>
      </c>
      <c r="M2621"/>
      <c r="N2621"/>
      <c r="O2621">
        <v>1.45</v>
      </c>
      <c r="P2621">
        <v>0.0</v>
      </c>
      <c r="Q2621">
        <v>9.5</v>
      </c>
      <c r="R2621"/>
      <c r="S2621"/>
      <c r="T2621"/>
      <c r="U2621"/>
      <c r="V2621"/>
      <c r="W2621">
        <v>18</v>
      </c>
    </row>
    <row r="2622" spans="1:23">
      <c r="A2622"/>
      <c r="B2622" t="s">
        <v>72</v>
      </c>
      <c r="C2622" t="s">
        <v>72</v>
      </c>
      <c r="D2622" t="s">
        <v>33</v>
      </c>
      <c r="E2622" t="s">
        <v>34</v>
      </c>
      <c r="F2622" t="str">
        <f>"0002928"</f>
        <v>0002928</v>
      </c>
      <c r="G2622">
        <v>1</v>
      </c>
      <c r="H2622" t="str">
        <f>"00000000"</f>
        <v>00000000</v>
      </c>
      <c r="I2622" t="s">
        <v>35</v>
      </c>
      <c r="J2622"/>
      <c r="K2622">
        <v>2.55</v>
      </c>
      <c r="L2622">
        <v>0.0</v>
      </c>
      <c r="M2622"/>
      <c r="N2622"/>
      <c r="O2622">
        <v>0.46</v>
      </c>
      <c r="P2622">
        <v>0.2</v>
      </c>
      <c r="Q2622">
        <v>3.21</v>
      </c>
      <c r="R2622"/>
      <c r="S2622"/>
      <c r="T2622"/>
      <c r="U2622"/>
      <c r="V2622"/>
      <c r="W2622">
        <v>18</v>
      </c>
    </row>
    <row r="2623" spans="1:23">
      <c r="A2623"/>
      <c r="B2623" t="s">
        <v>72</v>
      </c>
      <c r="C2623" t="s">
        <v>72</v>
      </c>
      <c r="D2623" t="s">
        <v>33</v>
      </c>
      <c r="E2623" t="s">
        <v>34</v>
      </c>
      <c r="F2623" t="str">
        <f>"0002929"</f>
        <v>0002929</v>
      </c>
      <c r="G2623">
        <v>1</v>
      </c>
      <c r="H2623" t="str">
        <f>"00000000"</f>
        <v>00000000</v>
      </c>
      <c r="I2623" t="s">
        <v>35</v>
      </c>
      <c r="J2623"/>
      <c r="K2623">
        <v>30.18</v>
      </c>
      <c r="L2623">
        <v>0.0</v>
      </c>
      <c r="M2623"/>
      <c r="N2623"/>
      <c r="O2623">
        <v>5.43</v>
      </c>
      <c r="P2623">
        <v>0.2</v>
      </c>
      <c r="Q2623">
        <v>35.82</v>
      </c>
      <c r="R2623"/>
      <c r="S2623"/>
      <c r="T2623"/>
      <c r="U2623"/>
      <c r="V2623"/>
      <c r="W2623">
        <v>18</v>
      </c>
    </row>
    <row r="2624" spans="1:23">
      <c r="A2624"/>
      <c r="B2624" t="s">
        <v>72</v>
      </c>
      <c r="C2624" t="s">
        <v>72</v>
      </c>
      <c r="D2624" t="s">
        <v>33</v>
      </c>
      <c r="E2624" t="s">
        <v>34</v>
      </c>
      <c r="F2624" t="str">
        <f>"0002930"</f>
        <v>0002930</v>
      </c>
      <c r="G2624">
        <v>1</v>
      </c>
      <c r="H2624" t="str">
        <f>"00000000"</f>
        <v>00000000</v>
      </c>
      <c r="I2624" t="s">
        <v>35</v>
      </c>
      <c r="J2624"/>
      <c r="K2624">
        <v>67.31</v>
      </c>
      <c r="L2624">
        <v>0.0</v>
      </c>
      <c r="M2624"/>
      <c r="N2624"/>
      <c r="O2624">
        <v>12.11</v>
      </c>
      <c r="P2624">
        <v>0.2</v>
      </c>
      <c r="Q2624">
        <v>79.62</v>
      </c>
      <c r="R2624"/>
      <c r="S2624"/>
      <c r="T2624"/>
      <c r="U2624"/>
      <c r="V2624"/>
      <c r="W2624">
        <v>18</v>
      </c>
    </row>
    <row r="2625" spans="1:23">
      <c r="A2625"/>
      <c r="B2625" t="s">
        <v>72</v>
      </c>
      <c r="C2625" t="s">
        <v>72</v>
      </c>
      <c r="D2625" t="s">
        <v>33</v>
      </c>
      <c r="E2625" t="s">
        <v>34</v>
      </c>
      <c r="F2625" t="str">
        <f>"0002931"</f>
        <v>0002931</v>
      </c>
      <c r="G2625">
        <v>1</v>
      </c>
      <c r="H2625" t="str">
        <f>"00000000"</f>
        <v>00000000</v>
      </c>
      <c r="I2625" t="s">
        <v>35</v>
      </c>
      <c r="J2625"/>
      <c r="K2625">
        <v>36.3</v>
      </c>
      <c r="L2625">
        <v>0.0</v>
      </c>
      <c r="M2625"/>
      <c r="N2625"/>
      <c r="O2625">
        <v>6.53</v>
      </c>
      <c r="P2625">
        <v>0.0</v>
      </c>
      <c r="Q2625">
        <v>42.84</v>
      </c>
      <c r="R2625"/>
      <c r="S2625"/>
      <c r="T2625"/>
      <c r="U2625"/>
      <c r="V2625"/>
      <c r="W2625">
        <v>18</v>
      </c>
    </row>
    <row r="2626" spans="1:23">
      <c r="A2626"/>
      <c r="B2626" t="s">
        <v>72</v>
      </c>
      <c r="C2626" t="s">
        <v>72</v>
      </c>
      <c r="D2626" t="s">
        <v>33</v>
      </c>
      <c r="E2626" t="s">
        <v>34</v>
      </c>
      <c r="F2626" t="str">
        <f>"0002932"</f>
        <v>0002932</v>
      </c>
      <c r="G2626">
        <v>1</v>
      </c>
      <c r="H2626" t="str">
        <f>"00000000"</f>
        <v>00000000</v>
      </c>
      <c r="I2626" t="s">
        <v>35</v>
      </c>
      <c r="J2626"/>
      <c r="K2626">
        <v>24.17</v>
      </c>
      <c r="L2626">
        <v>0.0</v>
      </c>
      <c r="M2626"/>
      <c r="N2626"/>
      <c r="O2626">
        <v>4.35</v>
      </c>
      <c r="P2626">
        <v>0.2</v>
      </c>
      <c r="Q2626">
        <v>28.72</v>
      </c>
      <c r="R2626"/>
      <c r="S2626"/>
      <c r="T2626"/>
      <c r="U2626"/>
      <c r="V2626"/>
      <c r="W2626">
        <v>18</v>
      </c>
    </row>
    <row r="2627" spans="1:23">
      <c r="A2627"/>
      <c r="B2627" t="s">
        <v>72</v>
      </c>
      <c r="C2627" t="s">
        <v>72</v>
      </c>
      <c r="D2627" t="s">
        <v>33</v>
      </c>
      <c r="E2627" t="s">
        <v>34</v>
      </c>
      <c r="F2627" t="str">
        <f>"0002933"</f>
        <v>0002933</v>
      </c>
      <c r="G2627">
        <v>1</v>
      </c>
      <c r="H2627" t="str">
        <f>"00000000"</f>
        <v>00000000</v>
      </c>
      <c r="I2627" t="s">
        <v>35</v>
      </c>
      <c r="J2627"/>
      <c r="K2627">
        <v>15.02</v>
      </c>
      <c r="L2627">
        <v>0.0</v>
      </c>
      <c r="M2627"/>
      <c r="N2627"/>
      <c r="O2627">
        <v>2.7</v>
      </c>
      <c r="P2627">
        <v>0.2</v>
      </c>
      <c r="Q2627">
        <v>17.92</v>
      </c>
      <c r="R2627"/>
      <c r="S2627"/>
      <c r="T2627"/>
      <c r="U2627"/>
      <c r="V2627"/>
      <c r="W2627">
        <v>18</v>
      </c>
    </row>
    <row r="2628" spans="1:23">
      <c r="A2628"/>
      <c r="B2628" t="s">
        <v>72</v>
      </c>
      <c r="C2628" t="s">
        <v>72</v>
      </c>
      <c r="D2628" t="s">
        <v>33</v>
      </c>
      <c r="E2628" t="s">
        <v>34</v>
      </c>
      <c r="F2628" t="str">
        <f>"0002934"</f>
        <v>0002934</v>
      </c>
      <c r="G2628">
        <v>1</v>
      </c>
      <c r="H2628" t="str">
        <f>"00000000"</f>
        <v>00000000</v>
      </c>
      <c r="I2628" t="s">
        <v>35</v>
      </c>
      <c r="J2628"/>
      <c r="K2628">
        <v>41.2</v>
      </c>
      <c r="L2628">
        <v>0.0</v>
      </c>
      <c r="M2628"/>
      <c r="N2628"/>
      <c r="O2628">
        <v>7.42</v>
      </c>
      <c r="P2628">
        <v>0.2</v>
      </c>
      <c r="Q2628">
        <v>48.82</v>
      </c>
      <c r="R2628"/>
      <c r="S2628"/>
      <c r="T2628"/>
      <c r="U2628"/>
      <c r="V2628"/>
      <c r="W2628">
        <v>18</v>
      </c>
    </row>
    <row r="2629" spans="1:23">
      <c r="A2629"/>
      <c r="B2629" t="s">
        <v>72</v>
      </c>
      <c r="C2629" t="s">
        <v>72</v>
      </c>
      <c r="D2629" t="s">
        <v>33</v>
      </c>
      <c r="E2629" t="s">
        <v>34</v>
      </c>
      <c r="F2629" t="str">
        <f>"0002935"</f>
        <v>0002935</v>
      </c>
      <c r="G2629">
        <v>1</v>
      </c>
      <c r="H2629" t="str">
        <f>"00000000"</f>
        <v>00000000</v>
      </c>
      <c r="I2629" t="s">
        <v>35</v>
      </c>
      <c r="J2629"/>
      <c r="K2629">
        <v>12.63</v>
      </c>
      <c r="L2629">
        <v>0.0</v>
      </c>
      <c r="M2629"/>
      <c r="N2629"/>
      <c r="O2629">
        <v>2.27</v>
      </c>
      <c r="P2629">
        <v>0.0</v>
      </c>
      <c r="Q2629">
        <v>14.9</v>
      </c>
      <c r="R2629"/>
      <c r="S2629"/>
      <c r="T2629"/>
      <c r="U2629"/>
      <c r="V2629"/>
      <c r="W2629">
        <v>18</v>
      </c>
    </row>
    <row r="2630" spans="1:23">
      <c r="A2630"/>
      <c r="B2630" t="s">
        <v>72</v>
      </c>
      <c r="C2630" t="s">
        <v>72</v>
      </c>
      <c r="D2630" t="s">
        <v>33</v>
      </c>
      <c r="E2630" t="s">
        <v>34</v>
      </c>
      <c r="F2630" t="str">
        <f>"0002936"</f>
        <v>0002936</v>
      </c>
      <c r="G2630">
        <v>1</v>
      </c>
      <c r="H2630" t="str">
        <f>"00000000"</f>
        <v>00000000</v>
      </c>
      <c r="I2630" t="s">
        <v>35</v>
      </c>
      <c r="J2630"/>
      <c r="K2630">
        <v>10.0</v>
      </c>
      <c r="L2630">
        <v>0.0</v>
      </c>
      <c r="M2630"/>
      <c r="N2630"/>
      <c r="O2630">
        <v>1.8</v>
      </c>
      <c r="P2630">
        <v>0.0</v>
      </c>
      <c r="Q2630">
        <v>11.8</v>
      </c>
      <c r="R2630"/>
      <c r="S2630"/>
      <c r="T2630"/>
      <c r="U2630"/>
      <c r="V2630"/>
      <c r="W2630">
        <v>18</v>
      </c>
    </row>
    <row r="2631" spans="1:23">
      <c r="A2631"/>
      <c r="B2631" t="s">
        <v>72</v>
      </c>
      <c r="C2631" t="s">
        <v>72</v>
      </c>
      <c r="D2631" t="s">
        <v>33</v>
      </c>
      <c r="E2631" t="s">
        <v>34</v>
      </c>
      <c r="F2631" t="str">
        <f>"0002937"</f>
        <v>0002937</v>
      </c>
      <c r="G2631">
        <v>1</v>
      </c>
      <c r="H2631" t="str">
        <f>"00000000"</f>
        <v>00000000</v>
      </c>
      <c r="I2631" t="s">
        <v>35</v>
      </c>
      <c r="J2631"/>
      <c r="K2631">
        <v>12.2</v>
      </c>
      <c r="L2631">
        <v>0.0</v>
      </c>
      <c r="M2631"/>
      <c r="N2631"/>
      <c r="O2631">
        <v>2.2</v>
      </c>
      <c r="P2631">
        <v>0.2</v>
      </c>
      <c r="Q2631">
        <v>14.6</v>
      </c>
      <c r="R2631"/>
      <c r="S2631"/>
      <c r="T2631"/>
      <c r="U2631"/>
      <c r="V2631"/>
      <c r="W2631">
        <v>18</v>
      </c>
    </row>
    <row r="2632" spans="1:23">
      <c r="A2632"/>
      <c r="B2632" t="s">
        <v>72</v>
      </c>
      <c r="C2632" t="s">
        <v>72</v>
      </c>
      <c r="D2632" t="s">
        <v>33</v>
      </c>
      <c r="E2632" t="s">
        <v>34</v>
      </c>
      <c r="F2632" t="str">
        <f>"0002938"</f>
        <v>0002938</v>
      </c>
      <c r="G2632">
        <v>1</v>
      </c>
      <c r="H2632" t="str">
        <f>"00000000"</f>
        <v>00000000</v>
      </c>
      <c r="I2632" t="s">
        <v>35</v>
      </c>
      <c r="J2632"/>
      <c r="K2632">
        <v>15.68</v>
      </c>
      <c r="L2632">
        <v>0.0</v>
      </c>
      <c r="M2632"/>
      <c r="N2632"/>
      <c r="O2632">
        <v>2.82</v>
      </c>
      <c r="P2632">
        <v>0.0</v>
      </c>
      <c r="Q2632">
        <v>18.5</v>
      </c>
      <c r="R2632"/>
      <c r="S2632"/>
      <c r="T2632"/>
      <c r="U2632"/>
      <c r="V2632"/>
      <c r="W2632">
        <v>18</v>
      </c>
    </row>
    <row r="2633" spans="1:23">
      <c r="A2633"/>
      <c r="B2633" t="s">
        <v>72</v>
      </c>
      <c r="C2633" t="s">
        <v>72</v>
      </c>
      <c r="D2633" t="s">
        <v>33</v>
      </c>
      <c r="E2633" t="s">
        <v>34</v>
      </c>
      <c r="F2633" t="str">
        <f>"0002939"</f>
        <v>0002939</v>
      </c>
      <c r="G2633">
        <v>1</v>
      </c>
      <c r="H2633" t="str">
        <f>"00000000"</f>
        <v>00000000</v>
      </c>
      <c r="I2633" t="s">
        <v>35</v>
      </c>
      <c r="J2633"/>
      <c r="K2633">
        <v>27.64</v>
      </c>
      <c r="L2633">
        <v>0.0</v>
      </c>
      <c r="M2633"/>
      <c r="N2633"/>
      <c r="O2633">
        <v>4.98</v>
      </c>
      <c r="P2633">
        <v>0.2</v>
      </c>
      <c r="Q2633">
        <v>32.82</v>
      </c>
      <c r="R2633"/>
      <c r="S2633"/>
      <c r="T2633"/>
      <c r="U2633"/>
      <c r="V2633"/>
      <c r="W2633">
        <v>18</v>
      </c>
    </row>
    <row r="2634" spans="1:23">
      <c r="A2634"/>
      <c r="B2634" t="s">
        <v>72</v>
      </c>
      <c r="C2634" t="s">
        <v>72</v>
      </c>
      <c r="D2634" t="s">
        <v>33</v>
      </c>
      <c r="E2634" t="s">
        <v>34</v>
      </c>
      <c r="F2634" t="str">
        <f>"0002940"</f>
        <v>0002940</v>
      </c>
      <c r="G2634">
        <v>1</v>
      </c>
      <c r="H2634" t="str">
        <f>"00000000"</f>
        <v>00000000</v>
      </c>
      <c r="I2634" t="s">
        <v>35</v>
      </c>
      <c r="J2634"/>
      <c r="K2634">
        <v>36.54</v>
      </c>
      <c r="L2634">
        <v>0.0</v>
      </c>
      <c r="M2634"/>
      <c r="N2634"/>
      <c r="O2634">
        <v>6.58</v>
      </c>
      <c r="P2634">
        <v>0.2</v>
      </c>
      <c r="Q2634">
        <v>43.32</v>
      </c>
      <c r="R2634"/>
      <c r="S2634"/>
      <c r="T2634"/>
      <c r="U2634"/>
      <c r="V2634"/>
      <c r="W2634">
        <v>18</v>
      </c>
    </row>
    <row r="2635" spans="1:23">
      <c r="A2635"/>
      <c r="B2635" t="s">
        <v>72</v>
      </c>
      <c r="C2635" t="s">
        <v>72</v>
      </c>
      <c r="D2635" t="s">
        <v>33</v>
      </c>
      <c r="E2635" t="s">
        <v>34</v>
      </c>
      <c r="F2635" t="str">
        <f>"0002941"</f>
        <v>0002941</v>
      </c>
      <c r="G2635">
        <v>1</v>
      </c>
      <c r="H2635" t="str">
        <f>"00000000"</f>
        <v>00000000</v>
      </c>
      <c r="I2635" t="s">
        <v>35</v>
      </c>
      <c r="J2635"/>
      <c r="K2635">
        <v>3.32</v>
      </c>
      <c r="L2635">
        <v>0.0</v>
      </c>
      <c r="M2635"/>
      <c r="N2635"/>
      <c r="O2635">
        <v>0.6</v>
      </c>
      <c r="P2635">
        <v>0.2</v>
      </c>
      <c r="Q2635">
        <v>4.12</v>
      </c>
      <c r="R2635"/>
      <c r="S2635"/>
      <c r="T2635"/>
      <c r="U2635"/>
      <c r="V2635"/>
      <c r="W2635">
        <v>18</v>
      </c>
    </row>
    <row r="2636" spans="1:23">
      <c r="A2636"/>
      <c r="B2636" t="s">
        <v>72</v>
      </c>
      <c r="C2636" t="s">
        <v>72</v>
      </c>
      <c r="D2636" t="s">
        <v>33</v>
      </c>
      <c r="E2636" t="s">
        <v>34</v>
      </c>
      <c r="F2636" t="str">
        <f>"0002942"</f>
        <v>0002942</v>
      </c>
      <c r="G2636">
        <v>1</v>
      </c>
      <c r="H2636" t="str">
        <f>"00000000"</f>
        <v>00000000</v>
      </c>
      <c r="I2636" t="s">
        <v>35</v>
      </c>
      <c r="J2636"/>
      <c r="K2636">
        <v>47.47</v>
      </c>
      <c r="L2636">
        <v>0.0</v>
      </c>
      <c r="M2636"/>
      <c r="N2636"/>
      <c r="O2636">
        <v>8.55</v>
      </c>
      <c r="P2636">
        <v>0.2</v>
      </c>
      <c r="Q2636">
        <v>56.22</v>
      </c>
      <c r="R2636"/>
      <c r="S2636"/>
      <c r="T2636"/>
      <c r="U2636"/>
      <c r="V2636"/>
      <c r="W2636">
        <v>18</v>
      </c>
    </row>
    <row r="2637" spans="1:23">
      <c r="A2637"/>
      <c r="B2637" t="s">
        <v>72</v>
      </c>
      <c r="C2637" t="s">
        <v>72</v>
      </c>
      <c r="D2637" t="s">
        <v>33</v>
      </c>
      <c r="E2637" t="s">
        <v>34</v>
      </c>
      <c r="F2637" t="str">
        <f>"0002943"</f>
        <v>0002943</v>
      </c>
      <c r="G2637">
        <v>1</v>
      </c>
      <c r="H2637" t="str">
        <f>"00000000"</f>
        <v>00000000</v>
      </c>
      <c r="I2637" t="s">
        <v>35</v>
      </c>
      <c r="J2637"/>
      <c r="K2637">
        <v>10.92</v>
      </c>
      <c r="L2637">
        <v>0.0</v>
      </c>
      <c r="M2637"/>
      <c r="N2637"/>
      <c r="O2637">
        <v>1.97</v>
      </c>
      <c r="P2637">
        <v>0.2</v>
      </c>
      <c r="Q2637">
        <v>13.09</v>
      </c>
      <c r="R2637"/>
      <c r="S2637"/>
      <c r="T2637"/>
      <c r="U2637"/>
      <c r="V2637"/>
      <c r="W2637">
        <v>18</v>
      </c>
    </row>
    <row r="2638" spans="1:23">
      <c r="A2638"/>
      <c r="B2638" t="s">
        <v>72</v>
      </c>
      <c r="C2638" t="s">
        <v>72</v>
      </c>
      <c r="D2638" t="s">
        <v>33</v>
      </c>
      <c r="E2638" t="s">
        <v>34</v>
      </c>
      <c r="F2638" t="str">
        <f>"0002944"</f>
        <v>0002944</v>
      </c>
      <c r="G2638">
        <v>1</v>
      </c>
      <c r="H2638" t="str">
        <f>"00000000"</f>
        <v>00000000</v>
      </c>
      <c r="I2638" t="s">
        <v>35</v>
      </c>
      <c r="J2638"/>
      <c r="K2638">
        <v>27.43</v>
      </c>
      <c r="L2638">
        <v>0.0</v>
      </c>
      <c r="M2638"/>
      <c r="N2638"/>
      <c r="O2638">
        <v>4.94</v>
      </c>
      <c r="P2638">
        <v>0.2</v>
      </c>
      <c r="Q2638">
        <v>32.57</v>
      </c>
      <c r="R2638"/>
      <c r="S2638"/>
      <c r="T2638"/>
      <c r="U2638"/>
      <c r="V2638"/>
      <c r="W2638">
        <v>18</v>
      </c>
    </row>
    <row r="2639" spans="1:23">
      <c r="A2639"/>
      <c r="B2639" t="s">
        <v>72</v>
      </c>
      <c r="C2639" t="s">
        <v>72</v>
      </c>
      <c r="D2639" t="s">
        <v>33</v>
      </c>
      <c r="E2639" t="s">
        <v>34</v>
      </c>
      <c r="F2639" t="str">
        <f>"0002945"</f>
        <v>0002945</v>
      </c>
      <c r="G2639">
        <v>1</v>
      </c>
      <c r="H2639" t="str">
        <f>"00000000"</f>
        <v>00000000</v>
      </c>
      <c r="I2639" t="s">
        <v>35</v>
      </c>
      <c r="J2639"/>
      <c r="K2639">
        <v>16.27</v>
      </c>
      <c r="L2639">
        <v>0.0</v>
      </c>
      <c r="M2639"/>
      <c r="N2639"/>
      <c r="O2639">
        <v>2.93</v>
      </c>
      <c r="P2639">
        <v>0.0</v>
      </c>
      <c r="Q2639">
        <v>19.2</v>
      </c>
      <c r="R2639"/>
      <c r="S2639"/>
      <c r="T2639"/>
      <c r="U2639"/>
      <c r="V2639"/>
      <c r="W2639">
        <v>18</v>
      </c>
    </row>
    <row r="2640" spans="1:23">
      <c r="A2640"/>
      <c r="B2640" t="s">
        <v>72</v>
      </c>
      <c r="C2640" t="s">
        <v>72</v>
      </c>
      <c r="D2640" t="s">
        <v>33</v>
      </c>
      <c r="E2640" t="s">
        <v>34</v>
      </c>
      <c r="F2640" t="str">
        <f>"0002946"</f>
        <v>0002946</v>
      </c>
      <c r="G2640">
        <v>1</v>
      </c>
      <c r="H2640" t="str">
        <f>"00000000"</f>
        <v>00000000</v>
      </c>
      <c r="I2640" t="s">
        <v>35</v>
      </c>
      <c r="J2640"/>
      <c r="K2640">
        <v>2.97</v>
      </c>
      <c r="L2640">
        <v>0.0</v>
      </c>
      <c r="M2640"/>
      <c r="N2640"/>
      <c r="O2640">
        <v>0.53</v>
      </c>
      <c r="P2640">
        <v>0.0</v>
      </c>
      <c r="Q2640">
        <v>3.5</v>
      </c>
      <c r="R2640"/>
      <c r="S2640"/>
      <c r="T2640"/>
      <c r="U2640"/>
      <c r="V2640"/>
      <c r="W2640">
        <v>18</v>
      </c>
    </row>
    <row r="2641" spans="1:23">
      <c r="A2641"/>
      <c r="B2641" t="s">
        <v>72</v>
      </c>
      <c r="C2641" t="s">
        <v>72</v>
      </c>
      <c r="D2641" t="s">
        <v>33</v>
      </c>
      <c r="E2641" t="s">
        <v>34</v>
      </c>
      <c r="F2641" t="str">
        <f>"0002947"</f>
        <v>0002947</v>
      </c>
      <c r="G2641">
        <v>1</v>
      </c>
      <c r="H2641" t="str">
        <f>"00000000"</f>
        <v>00000000</v>
      </c>
      <c r="I2641" t="s">
        <v>35</v>
      </c>
      <c r="J2641"/>
      <c r="K2641">
        <v>18.46</v>
      </c>
      <c r="L2641">
        <v>0.0</v>
      </c>
      <c r="M2641"/>
      <c r="N2641"/>
      <c r="O2641">
        <v>3.32</v>
      </c>
      <c r="P2641">
        <v>0.2</v>
      </c>
      <c r="Q2641">
        <v>21.98</v>
      </c>
      <c r="R2641"/>
      <c r="S2641"/>
      <c r="T2641"/>
      <c r="U2641"/>
      <c r="V2641"/>
      <c r="W2641">
        <v>18</v>
      </c>
    </row>
    <row r="2642" spans="1:23">
      <c r="A2642"/>
      <c r="B2642" t="s">
        <v>72</v>
      </c>
      <c r="C2642" t="s">
        <v>72</v>
      </c>
      <c r="D2642" t="s">
        <v>33</v>
      </c>
      <c r="E2642" t="s">
        <v>34</v>
      </c>
      <c r="F2642" t="str">
        <f>"0002948"</f>
        <v>0002948</v>
      </c>
      <c r="G2642">
        <v>1</v>
      </c>
      <c r="H2642" t="str">
        <f>"00000000"</f>
        <v>00000000</v>
      </c>
      <c r="I2642" t="s">
        <v>35</v>
      </c>
      <c r="J2642"/>
      <c r="K2642">
        <v>30.3</v>
      </c>
      <c r="L2642">
        <v>0.0</v>
      </c>
      <c r="M2642"/>
      <c r="N2642"/>
      <c r="O2642">
        <v>5.45</v>
      </c>
      <c r="P2642">
        <v>0.2</v>
      </c>
      <c r="Q2642">
        <v>35.95</v>
      </c>
      <c r="R2642"/>
      <c r="S2642"/>
      <c r="T2642"/>
      <c r="U2642"/>
      <c r="V2642"/>
      <c r="W2642">
        <v>18</v>
      </c>
    </row>
    <row r="2643" spans="1:23">
      <c r="A2643"/>
      <c r="B2643" t="s">
        <v>72</v>
      </c>
      <c r="C2643" t="s">
        <v>72</v>
      </c>
      <c r="D2643" t="s">
        <v>33</v>
      </c>
      <c r="E2643" t="s">
        <v>34</v>
      </c>
      <c r="F2643" t="str">
        <f>"0002949"</f>
        <v>0002949</v>
      </c>
      <c r="G2643">
        <v>1</v>
      </c>
      <c r="H2643" t="str">
        <f>"00000000"</f>
        <v>00000000</v>
      </c>
      <c r="I2643" t="s">
        <v>35</v>
      </c>
      <c r="J2643"/>
      <c r="K2643">
        <v>5.08</v>
      </c>
      <c r="L2643">
        <v>0.0</v>
      </c>
      <c r="M2643"/>
      <c r="N2643"/>
      <c r="O2643">
        <v>0.92</v>
      </c>
      <c r="P2643">
        <v>0.0</v>
      </c>
      <c r="Q2643">
        <v>6.0</v>
      </c>
      <c r="R2643"/>
      <c r="S2643"/>
      <c r="T2643"/>
      <c r="U2643"/>
      <c r="V2643"/>
      <c r="W2643">
        <v>18</v>
      </c>
    </row>
    <row r="2644" spans="1:23">
      <c r="A2644"/>
      <c r="B2644" t="s">
        <v>72</v>
      </c>
      <c r="C2644" t="s">
        <v>72</v>
      </c>
      <c r="D2644" t="s">
        <v>33</v>
      </c>
      <c r="E2644" t="s">
        <v>34</v>
      </c>
      <c r="F2644" t="str">
        <f>"0002950"</f>
        <v>0002950</v>
      </c>
      <c r="G2644">
        <v>1</v>
      </c>
      <c r="H2644" t="str">
        <f>"00000000"</f>
        <v>00000000</v>
      </c>
      <c r="I2644" t="s">
        <v>35</v>
      </c>
      <c r="J2644"/>
      <c r="K2644">
        <v>14.78</v>
      </c>
      <c r="L2644">
        <v>0.0</v>
      </c>
      <c r="M2644"/>
      <c r="N2644"/>
      <c r="O2644">
        <v>2.66</v>
      </c>
      <c r="P2644">
        <v>0.0</v>
      </c>
      <c r="Q2644">
        <v>17.44</v>
      </c>
      <c r="R2644"/>
      <c r="S2644"/>
      <c r="T2644"/>
      <c r="U2644"/>
      <c r="V2644"/>
      <c r="W2644">
        <v>18</v>
      </c>
    </row>
    <row r="2645" spans="1:23">
      <c r="A2645"/>
      <c r="B2645" t="s">
        <v>72</v>
      </c>
      <c r="C2645" t="s">
        <v>72</v>
      </c>
      <c r="D2645" t="s">
        <v>33</v>
      </c>
      <c r="E2645" t="s">
        <v>34</v>
      </c>
      <c r="F2645" t="str">
        <f>"0002951"</f>
        <v>0002951</v>
      </c>
      <c r="G2645">
        <v>1</v>
      </c>
      <c r="H2645" t="str">
        <f>"00000000"</f>
        <v>00000000</v>
      </c>
      <c r="I2645" t="s">
        <v>35</v>
      </c>
      <c r="J2645"/>
      <c r="K2645">
        <v>78.83</v>
      </c>
      <c r="L2645">
        <v>0.0</v>
      </c>
      <c r="M2645"/>
      <c r="N2645"/>
      <c r="O2645">
        <v>14.19</v>
      </c>
      <c r="P2645">
        <v>0.4</v>
      </c>
      <c r="Q2645">
        <v>93.42</v>
      </c>
      <c r="R2645"/>
      <c r="S2645"/>
      <c r="T2645"/>
      <c r="U2645"/>
      <c r="V2645"/>
      <c r="W2645">
        <v>18</v>
      </c>
    </row>
    <row r="2646" spans="1:23">
      <c r="A2646"/>
      <c r="B2646" t="s">
        <v>72</v>
      </c>
      <c r="C2646" t="s">
        <v>72</v>
      </c>
      <c r="D2646" t="s">
        <v>33</v>
      </c>
      <c r="E2646" t="s">
        <v>34</v>
      </c>
      <c r="F2646" t="str">
        <f>"0002952"</f>
        <v>0002952</v>
      </c>
      <c r="G2646">
        <v>1</v>
      </c>
      <c r="H2646" t="str">
        <f>"00000000"</f>
        <v>00000000</v>
      </c>
      <c r="I2646" t="s">
        <v>35</v>
      </c>
      <c r="J2646"/>
      <c r="K2646">
        <v>7.14</v>
      </c>
      <c r="L2646">
        <v>0.0</v>
      </c>
      <c r="M2646"/>
      <c r="N2646"/>
      <c r="O2646">
        <v>1.28</v>
      </c>
      <c r="P2646">
        <v>0.0</v>
      </c>
      <c r="Q2646">
        <v>8.42</v>
      </c>
      <c r="R2646"/>
      <c r="S2646"/>
      <c r="T2646"/>
      <c r="U2646"/>
      <c r="V2646"/>
      <c r="W2646">
        <v>18</v>
      </c>
    </row>
    <row r="2647" spans="1:23">
      <c r="A2647"/>
      <c r="B2647" t="s">
        <v>72</v>
      </c>
      <c r="C2647" t="s">
        <v>72</v>
      </c>
      <c r="D2647" t="s">
        <v>33</v>
      </c>
      <c r="E2647" t="s">
        <v>34</v>
      </c>
      <c r="F2647" t="str">
        <f>"0002953"</f>
        <v>0002953</v>
      </c>
      <c r="G2647">
        <v>1</v>
      </c>
      <c r="H2647" t="str">
        <f>"00000000"</f>
        <v>00000000</v>
      </c>
      <c r="I2647" t="s">
        <v>35</v>
      </c>
      <c r="J2647"/>
      <c r="K2647">
        <v>15.95</v>
      </c>
      <c r="L2647">
        <v>0.0</v>
      </c>
      <c r="M2647"/>
      <c r="N2647"/>
      <c r="O2647">
        <v>2.87</v>
      </c>
      <c r="P2647">
        <v>0.0</v>
      </c>
      <c r="Q2647">
        <v>18.83</v>
      </c>
      <c r="R2647"/>
      <c r="S2647"/>
      <c r="T2647"/>
      <c r="U2647"/>
      <c r="V2647"/>
      <c r="W2647">
        <v>18</v>
      </c>
    </row>
    <row r="2648" spans="1:23">
      <c r="A2648"/>
      <c r="B2648" t="s">
        <v>72</v>
      </c>
      <c r="C2648" t="s">
        <v>72</v>
      </c>
      <c r="D2648" t="s">
        <v>33</v>
      </c>
      <c r="E2648" t="s">
        <v>34</v>
      </c>
      <c r="F2648" t="str">
        <f>"0002954"</f>
        <v>0002954</v>
      </c>
      <c r="G2648">
        <v>1</v>
      </c>
      <c r="H2648" t="str">
        <f>"00000000"</f>
        <v>00000000</v>
      </c>
      <c r="I2648" t="s">
        <v>35</v>
      </c>
      <c r="J2648"/>
      <c r="K2648">
        <v>15.95</v>
      </c>
      <c r="L2648">
        <v>0.0</v>
      </c>
      <c r="M2648"/>
      <c r="N2648"/>
      <c r="O2648">
        <v>2.87</v>
      </c>
      <c r="P2648">
        <v>0.2</v>
      </c>
      <c r="Q2648">
        <v>19.02</v>
      </c>
      <c r="R2648"/>
      <c r="S2648"/>
      <c r="T2648"/>
      <c r="U2648"/>
      <c r="V2648"/>
      <c r="W2648">
        <v>18</v>
      </c>
    </row>
    <row r="2649" spans="1:23">
      <c r="A2649"/>
      <c r="B2649" t="s">
        <v>72</v>
      </c>
      <c r="C2649" t="s">
        <v>72</v>
      </c>
      <c r="D2649" t="s">
        <v>33</v>
      </c>
      <c r="E2649" t="s">
        <v>34</v>
      </c>
      <c r="F2649" t="str">
        <f>"0002955"</f>
        <v>0002955</v>
      </c>
      <c r="G2649">
        <v>1</v>
      </c>
      <c r="H2649" t="str">
        <f>"00000000"</f>
        <v>00000000</v>
      </c>
      <c r="I2649" t="s">
        <v>35</v>
      </c>
      <c r="J2649"/>
      <c r="K2649">
        <v>106.51</v>
      </c>
      <c r="L2649">
        <v>0.0</v>
      </c>
      <c r="M2649"/>
      <c r="N2649"/>
      <c r="O2649">
        <v>19.17</v>
      </c>
      <c r="P2649">
        <v>0.4</v>
      </c>
      <c r="Q2649">
        <v>126.09</v>
      </c>
      <c r="R2649"/>
      <c r="S2649"/>
      <c r="T2649"/>
      <c r="U2649"/>
      <c r="V2649"/>
      <c r="W2649">
        <v>18</v>
      </c>
    </row>
    <row r="2650" spans="1:23">
      <c r="A2650"/>
      <c r="B2650" t="s">
        <v>72</v>
      </c>
      <c r="C2650" t="s">
        <v>72</v>
      </c>
      <c r="D2650" t="s">
        <v>33</v>
      </c>
      <c r="E2650" t="s">
        <v>34</v>
      </c>
      <c r="F2650" t="str">
        <f>"0002956"</f>
        <v>0002956</v>
      </c>
      <c r="G2650">
        <v>1</v>
      </c>
      <c r="H2650" t="str">
        <f>"00000000"</f>
        <v>00000000</v>
      </c>
      <c r="I2650" t="s">
        <v>35</v>
      </c>
      <c r="J2650"/>
      <c r="K2650">
        <v>16.19</v>
      </c>
      <c r="L2650">
        <v>0.0</v>
      </c>
      <c r="M2650"/>
      <c r="N2650"/>
      <c r="O2650">
        <v>2.91</v>
      </c>
      <c r="P2650">
        <v>0.0</v>
      </c>
      <c r="Q2650">
        <v>19.1</v>
      </c>
      <c r="R2650"/>
      <c r="S2650"/>
      <c r="T2650"/>
      <c r="U2650"/>
      <c r="V2650"/>
      <c r="W2650">
        <v>18</v>
      </c>
    </row>
    <row r="2651" spans="1:23">
      <c r="A2651"/>
      <c r="B2651" t="s">
        <v>74</v>
      </c>
      <c r="C2651" t="s">
        <v>74</v>
      </c>
      <c r="D2651" t="s">
        <v>33</v>
      </c>
      <c r="E2651" t="s">
        <v>34</v>
      </c>
      <c r="F2651" t="str">
        <f>"0002957"</f>
        <v>0002957</v>
      </c>
      <c r="G2651">
        <v>1</v>
      </c>
      <c r="H2651" t="str">
        <f>"00000000"</f>
        <v>00000000</v>
      </c>
      <c r="I2651" t="s">
        <v>35</v>
      </c>
      <c r="J2651"/>
      <c r="K2651">
        <v>0.85</v>
      </c>
      <c r="L2651">
        <v>0.0</v>
      </c>
      <c r="M2651"/>
      <c r="N2651"/>
      <c r="O2651">
        <v>0.15</v>
      </c>
      <c r="P2651">
        <v>0.0</v>
      </c>
      <c r="Q2651">
        <v>1.0</v>
      </c>
      <c r="R2651"/>
      <c r="S2651"/>
      <c r="T2651"/>
      <c r="U2651"/>
      <c r="V2651"/>
      <c r="W2651">
        <v>18</v>
      </c>
    </row>
    <row r="2652" spans="1:23">
      <c r="A2652"/>
      <c r="B2652" t="s">
        <v>74</v>
      </c>
      <c r="C2652" t="s">
        <v>74</v>
      </c>
      <c r="D2652" t="s">
        <v>33</v>
      </c>
      <c r="E2652" t="s">
        <v>34</v>
      </c>
      <c r="F2652" t="str">
        <f>"0002958"</f>
        <v>0002958</v>
      </c>
      <c r="G2652">
        <v>1</v>
      </c>
      <c r="H2652" t="str">
        <f>"00000000"</f>
        <v>00000000</v>
      </c>
      <c r="I2652" t="s">
        <v>35</v>
      </c>
      <c r="J2652"/>
      <c r="K2652">
        <v>3.94</v>
      </c>
      <c r="L2652">
        <v>0.0</v>
      </c>
      <c r="M2652"/>
      <c r="N2652"/>
      <c r="O2652">
        <v>0.71</v>
      </c>
      <c r="P2652">
        <v>0.0</v>
      </c>
      <c r="Q2652">
        <v>4.65</v>
      </c>
      <c r="R2652"/>
      <c r="S2652"/>
      <c r="T2652"/>
      <c r="U2652"/>
      <c r="V2652"/>
      <c r="W2652">
        <v>18</v>
      </c>
    </row>
    <row r="2653" spans="1:23">
      <c r="A2653"/>
      <c r="B2653" t="s">
        <v>74</v>
      </c>
      <c r="C2653" t="s">
        <v>74</v>
      </c>
      <c r="D2653" t="s">
        <v>33</v>
      </c>
      <c r="E2653" t="s">
        <v>34</v>
      </c>
      <c r="F2653" t="str">
        <f>"0002959"</f>
        <v>0002959</v>
      </c>
      <c r="G2653">
        <v>1</v>
      </c>
      <c r="H2653" t="str">
        <f>"00000000"</f>
        <v>00000000</v>
      </c>
      <c r="I2653" t="s">
        <v>35</v>
      </c>
      <c r="J2653"/>
      <c r="K2653">
        <v>27.18</v>
      </c>
      <c r="L2653">
        <v>0.0</v>
      </c>
      <c r="M2653"/>
      <c r="N2653"/>
      <c r="O2653">
        <v>4.89</v>
      </c>
      <c r="P2653">
        <v>0.2</v>
      </c>
      <c r="Q2653">
        <v>32.27</v>
      </c>
      <c r="R2653"/>
      <c r="S2653"/>
      <c r="T2653"/>
      <c r="U2653"/>
      <c r="V2653"/>
      <c r="W2653">
        <v>18</v>
      </c>
    </row>
    <row r="2654" spans="1:23">
      <c r="A2654"/>
      <c r="B2654" t="s">
        <v>74</v>
      </c>
      <c r="C2654" t="s">
        <v>74</v>
      </c>
      <c r="D2654" t="s">
        <v>33</v>
      </c>
      <c r="E2654" t="s">
        <v>34</v>
      </c>
      <c r="F2654" t="str">
        <f>"0002960"</f>
        <v>0002960</v>
      </c>
      <c r="G2654">
        <v>1</v>
      </c>
      <c r="H2654" t="str">
        <f>"00000000"</f>
        <v>00000000</v>
      </c>
      <c r="I2654" t="s">
        <v>35</v>
      </c>
      <c r="J2654"/>
      <c r="K2654">
        <v>5.76</v>
      </c>
      <c r="L2654">
        <v>0.0</v>
      </c>
      <c r="M2654"/>
      <c r="N2654"/>
      <c r="O2654">
        <v>1.04</v>
      </c>
      <c r="P2654">
        <v>0.0</v>
      </c>
      <c r="Q2654">
        <v>6.8</v>
      </c>
      <c r="R2654"/>
      <c r="S2654"/>
      <c r="T2654"/>
      <c r="U2654"/>
      <c r="V2654"/>
      <c r="W2654">
        <v>18</v>
      </c>
    </row>
    <row r="2655" spans="1:23">
      <c r="A2655"/>
      <c r="B2655" t="s">
        <v>74</v>
      </c>
      <c r="C2655" t="s">
        <v>74</v>
      </c>
      <c r="D2655" t="s">
        <v>33</v>
      </c>
      <c r="E2655" t="s">
        <v>34</v>
      </c>
      <c r="F2655" t="str">
        <f>"0002961"</f>
        <v>0002961</v>
      </c>
      <c r="G2655">
        <v>1</v>
      </c>
      <c r="H2655" t="str">
        <f>"00000000"</f>
        <v>00000000</v>
      </c>
      <c r="I2655" t="s">
        <v>35</v>
      </c>
      <c r="J2655"/>
      <c r="K2655">
        <v>5.74</v>
      </c>
      <c r="L2655">
        <v>0.0</v>
      </c>
      <c r="M2655"/>
      <c r="N2655"/>
      <c r="O2655">
        <v>1.03</v>
      </c>
      <c r="P2655">
        <v>0.0</v>
      </c>
      <c r="Q2655">
        <v>6.78</v>
      </c>
      <c r="R2655"/>
      <c r="S2655"/>
      <c r="T2655"/>
      <c r="U2655"/>
      <c r="V2655"/>
      <c r="W2655">
        <v>18</v>
      </c>
    </row>
    <row r="2656" spans="1:23">
      <c r="A2656"/>
      <c r="B2656" t="s">
        <v>74</v>
      </c>
      <c r="C2656" t="s">
        <v>74</v>
      </c>
      <c r="D2656" t="s">
        <v>33</v>
      </c>
      <c r="E2656" t="s">
        <v>34</v>
      </c>
      <c r="F2656" t="str">
        <f>"0002962"</f>
        <v>0002962</v>
      </c>
      <c r="G2656">
        <v>1</v>
      </c>
      <c r="H2656" t="str">
        <f>"00000000"</f>
        <v>00000000</v>
      </c>
      <c r="I2656" t="s">
        <v>35</v>
      </c>
      <c r="J2656"/>
      <c r="K2656">
        <v>14.15</v>
      </c>
      <c r="L2656">
        <v>0.0</v>
      </c>
      <c r="M2656"/>
      <c r="N2656"/>
      <c r="O2656">
        <v>2.55</v>
      </c>
      <c r="P2656">
        <v>0.2</v>
      </c>
      <c r="Q2656">
        <v>16.9</v>
      </c>
      <c r="R2656"/>
      <c r="S2656"/>
      <c r="T2656"/>
      <c r="U2656"/>
      <c r="V2656"/>
      <c r="W2656">
        <v>18</v>
      </c>
    </row>
    <row r="2657" spans="1:23">
      <c r="A2657"/>
      <c r="B2657" t="s">
        <v>74</v>
      </c>
      <c r="C2657" t="s">
        <v>74</v>
      </c>
      <c r="D2657" t="s">
        <v>33</v>
      </c>
      <c r="E2657" t="s">
        <v>34</v>
      </c>
      <c r="F2657" t="str">
        <f>"0002963"</f>
        <v>0002963</v>
      </c>
      <c r="G2657">
        <v>1</v>
      </c>
      <c r="H2657" t="str">
        <f>"00000000"</f>
        <v>00000000</v>
      </c>
      <c r="I2657" t="s">
        <v>35</v>
      </c>
      <c r="J2657"/>
      <c r="K2657">
        <v>1.44</v>
      </c>
      <c r="L2657">
        <v>0.0</v>
      </c>
      <c r="M2657"/>
      <c r="N2657"/>
      <c r="O2657">
        <v>0.26</v>
      </c>
      <c r="P2657">
        <v>0.0</v>
      </c>
      <c r="Q2657">
        <v>1.7</v>
      </c>
      <c r="R2657"/>
      <c r="S2657"/>
      <c r="T2657"/>
      <c r="U2657"/>
      <c r="V2657"/>
      <c r="W2657">
        <v>18</v>
      </c>
    </row>
    <row r="2658" spans="1:23">
      <c r="A2658"/>
      <c r="B2658" t="s">
        <v>74</v>
      </c>
      <c r="C2658" t="s">
        <v>74</v>
      </c>
      <c r="D2658" t="s">
        <v>33</v>
      </c>
      <c r="E2658" t="s">
        <v>34</v>
      </c>
      <c r="F2658" t="str">
        <f>"0002964"</f>
        <v>0002964</v>
      </c>
      <c r="G2658">
        <v>1</v>
      </c>
      <c r="H2658" t="str">
        <f>"00000000"</f>
        <v>00000000</v>
      </c>
      <c r="I2658" t="s">
        <v>35</v>
      </c>
      <c r="J2658"/>
      <c r="K2658">
        <v>95.27</v>
      </c>
      <c r="L2658">
        <v>0.0</v>
      </c>
      <c r="M2658"/>
      <c r="N2658"/>
      <c r="O2658">
        <v>17.15</v>
      </c>
      <c r="P2658">
        <v>0.0</v>
      </c>
      <c r="Q2658">
        <v>112.42</v>
      </c>
      <c r="R2658"/>
      <c r="S2658"/>
      <c r="T2658"/>
      <c r="U2658"/>
      <c r="V2658"/>
      <c r="W2658">
        <v>18</v>
      </c>
    </row>
    <row r="2659" spans="1:23">
      <c r="A2659"/>
      <c r="B2659" t="s">
        <v>74</v>
      </c>
      <c r="C2659" t="s">
        <v>74</v>
      </c>
      <c r="D2659" t="s">
        <v>33</v>
      </c>
      <c r="E2659" t="s">
        <v>34</v>
      </c>
      <c r="F2659" t="str">
        <f>"0002965"</f>
        <v>0002965</v>
      </c>
      <c r="G2659">
        <v>1</v>
      </c>
      <c r="H2659" t="str">
        <f>"00000000"</f>
        <v>00000000</v>
      </c>
      <c r="I2659" t="s">
        <v>35</v>
      </c>
      <c r="J2659"/>
      <c r="K2659">
        <v>31.95</v>
      </c>
      <c r="L2659">
        <v>0.0</v>
      </c>
      <c r="M2659"/>
      <c r="N2659"/>
      <c r="O2659">
        <v>5.75</v>
      </c>
      <c r="P2659">
        <v>0.0</v>
      </c>
      <c r="Q2659">
        <v>37.7</v>
      </c>
      <c r="R2659"/>
      <c r="S2659"/>
      <c r="T2659"/>
      <c r="U2659"/>
      <c r="V2659"/>
      <c r="W2659">
        <v>18</v>
      </c>
    </row>
    <row r="2660" spans="1:23">
      <c r="A2660"/>
      <c r="B2660" t="s">
        <v>74</v>
      </c>
      <c r="C2660" t="s">
        <v>74</v>
      </c>
      <c r="D2660" t="s">
        <v>33</v>
      </c>
      <c r="E2660" t="s">
        <v>34</v>
      </c>
      <c r="F2660" t="str">
        <f>"0002966"</f>
        <v>0002966</v>
      </c>
      <c r="G2660">
        <v>1</v>
      </c>
      <c r="H2660" t="str">
        <f>"00000000"</f>
        <v>00000000</v>
      </c>
      <c r="I2660" t="s">
        <v>35</v>
      </c>
      <c r="J2660"/>
      <c r="K2660">
        <v>0.85</v>
      </c>
      <c r="L2660">
        <v>0.0</v>
      </c>
      <c r="M2660"/>
      <c r="N2660"/>
      <c r="O2660">
        <v>0.15</v>
      </c>
      <c r="P2660">
        <v>0.0</v>
      </c>
      <c r="Q2660">
        <v>1.0</v>
      </c>
      <c r="R2660"/>
      <c r="S2660"/>
      <c r="T2660"/>
      <c r="U2660"/>
      <c r="V2660"/>
      <c r="W2660">
        <v>18</v>
      </c>
    </row>
    <row r="2661" spans="1:23">
      <c r="A2661"/>
      <c r="B2661" t="s">
        <v>74</v>
      </c>
      <c r="C2661" t="s">
        <v>74</v>
      </c>
      <c r="D2661" t="s">
        <v>33</v>
      </c>
      <c r="E2661" t="s">
        <v>34</v>
      </c>
      <c r="F2661" t="str">
        <f>"0002967"</f>
        <v>0002967</v>
      </c>
      <c r="G2661">
        <v>1</v>
      </c>
      <c r="H2661" t="str">
        <f>"00000000"</f>
        <v>00000000</v>
      </c>
      <c r="I2661" t="s">
        <v>35</v>
      </c>
      <c r="J2661"/>
      <c r="K2661">
        <v>0.82</v>
      </c>
      <c r="L2661">
        <v>0.0</v>
      </c>
      <c r="M2661"/>
      <c r="N2661"/>
      <c r="O2661">
        <v>0.15</v>
      </c>
      <c r="P2661">
        <v>0.0</v>
      </c>
      <c r="Q2661">
        <v>0.96</v>
      </c>
      <c r="R2661"/>
      <c r="S2661"/>
      <c r="T2661"/>
      <c r="U2661"/>
      <c r="V2661"/>
      <c r="W2661">
        <v>18</v>
      </c>
    </row>
    <row r="2662" spans="1:23">
      <c r="A2662"/>
      <c r="B2662" t="s">
        <v>74</v>
      </c>
      <c r="C2662" t="s">
        <v>74</v>
      </c>
      <c r="D2662" t="s">
        <v>33</v>
      </c>
      <c r="E2662" t="s">
        <v>34</v>
      </c>
      <c r="F2662" t="str">
        <f>"0002968"</f>
        <v>0002968</v>
      </c>
      <c r="G2662">
        <v>1</v>
      </c>
      <c r="H2662" t="str">
        <f>"00000000"</f>
        <v>00000000</v>
      </c>
      <c r="I2662" t="s">
        <v>35</v>
      </c>
      <c r="J2662"/>
      <c r="K2662">
        <v>12.63</v>
      </c>
      <c r="L2662">
        <v>0.0</v>
      </c>
      <c r="M2662"/>
      <c r="N2662"/>
      <c r="O2662">
        <v>2.27</v>
      </c>
      <c r="P2662">
        <v>0.0</v>
      </c>
      <c r="Q2662">
        <v>14.9</v>
      </c>
      <c r="R2662"/>
      <c r="S2662"/>
      <c r="T2662"/>
      <c r="U2662"/>
      <c r="V2662"/>
      <c r="W2662">
        <v>18</v>
      </c>
    </row>
    <row r="2663" spans="1:23">
      <c r="A2663"/>
      <c r="B2663" t="s">
        <v>74</v>
      </c>
      <c r="C2663" t="s">
        <v>74</v>
      </c>
      <c r="D2663" t="s">
        <v>33</v>
      </c>
      <c r="E2663" t="s">
        <v>34</v>
      </c>
      <c r="F2663" t="str">
        <f>"0002969"</f>
        <v>0002969</v>
      </c>
      <c r="G2663">
        <v>1</v>
      </c>
      <c r="H2663" t="str">
        <f>"00000000"</f>
        <v>00000000</v>
      </c>
      <c r="I2663" t="s">
        <v>35</v>
      </c>
      <c r="J2663"/>
      <c r="K2663">
        <v>0.02</v>
      </c>
      <c r="L2663">
        <v>0.0</v>
      </c>
      <c r="M2663"/>
      <c r="N2663"/>
      <c r="O2663">
        <v>0.0</v>
      </c>
      <c r="P2663">
        <v>0.2</v>
      </c>
      <c r="Q2663">
        <v>0.22</v>
      </c>
      <c r="R2663"/>
      <c r="S2663"/>
      <c r="T2663"/>
      <c r="U2663"/>
      <c r="V2663"/>
      <c r="W2663">
        <v>18</v>
      </c>
    </row>
    <row r="2664" spans="1:23">
      <c r="A2664"/>
      <c r="B2664" t="s">
        <v>74</v>
      </c>
      <c r="C2664" t="s">
        <v>74</v>
      </c>
      <c r="D2664" t="s">
        <v>33</v>
      </c>
      <c r="E2664" t="s">
        <v>34</v>
      </c>
      <c r="F2664" t="str">
        <f>"0002970"</f>
        <v>0002970</v>
      </c>
      <c r="G2664">
        <v>1</v>
      </c>
      <c r="H2664" t="str">
        <f>"00000000"</f>
        <v>00000000</v>
      </c>
      <c r="I2664" t="s">
        <v>35</v>
      </c>
      <c r="J2664"/>
      <c r="K2664">
        <v>22.9</v>
      </c>
      <c r="L2664">
        <v>0.0</v>
      </c>
      <c r="M2664"/>
      <c r="N2664"/>
      <c r="O2664">
        <v>4.12</v>
      </c>
      <c r="P2664">
        <v>0.0</v>
      </c>
      <c r="Q2664">
        <v>27.03</v>
      </c>
      <c r="R2664"/>
      <c r="S2664"/>
      <c r="T2664"/>
      <c r="U2664"/>
      <c r="V2664"/>
      <c r="W2664">
        <v>18</v>
      </c>
    </row>
    <row r="2665" spans="1:23">
      <c r="A2665"/>
      <c r="B2665" t="s">
        <v>74</v>
      </c>
      <c r="C2665" t="s">
        <v>74</v>
      </c>
      <c r="D2665" t="s">
        <v>33</v>
      </c>
      <c r="E2665" t="s">
        <v>34</v>
      </c>
      <c r="F2665" t="str">
        <f>"0002971"</f>
        <v>0002971</v>
      </c>
      <c r="G2665">
        <v>1</v>
      </c>
      <c r="H2665" t="str">
        <f>"00000000"</f>
        <v>00000000</v>
      </c>
      <c r="I2665" t="s">
        <v>35</v>
      </c>
      <c r="J2665"/>
      <c r="K2665">
        <v>8.47</v>
      </c>
      <c r="L2665">
        <v>0.0</v>
      </c>
      <c r="M2665"/>
      <c r="N2665"/>
      <c r="O2665">
        <v>1.53</v>
      </c>
      <c r="P2665">
        <v>0.0</v>
      </c>
      <c r="Q2665">
        <v>10.0</v>
      </c>
      <c r="R2665"/>
      <c r="S2665"/>
      <c r="T2665"/>
      <c r="U2665"/>
      <c r="V2665"/>
      <c r="W2665">
        <v>18</v>
      </c>
    </row>
    <row r="2666" spans="1:23">
      <c r="A2666"/>
      <c r="B2666" t="s">
        <v>74</v>
      </c>
      <c r="C2666" t="s">
        <v>74</v>
      </c>
      <c r="D2666" t="s">
        <v>33</v>
      </c>
      <c r="E2666" t="s">
        <v>34</v>
      </c>
      <c r="F2666" t="str">
        <f>"0002972"</f>
        <v>0002972</v>
      </c>
      <c r="G2666">
        <v>1</v>
      </c>
      <c r="H2666" t="str">
        <f>"00000000"</f>
        <v>00000000</v>
      </c>
      <c r="I2666" t="s">
        <v>35</v>
      </c>
      <c r="J2666"/>
      <c r="K2666">
        <v>2.56</v>
      </c>
      <c r="L2666">
        <v>0.0</v>
      </c>
      <c r="M2666"/>
      <c r="N2666"/>
      <c r="O2666">
        <v>0.46</v>
      </c>
      <c r="P2666">
        <v>0.0</v>
      </c>
      <c r="Q2666">
        <v>3.02</v>
      </c>
      <c r="R2666"/>
      <c r="S2666"/>
      <c r="T2666"/>
      <c r="U2666"/>
      <c r="V2666"/>
      <c r="W2666">
        <v>18</v>
      </c>
    </row>
    <row r="2667" spans="1:23">
      <c r="A2667"/>
      <c r="B2667" t="s">
        <v>74</v>
      </c>
      <c r="C2667" t="s">
        <v>74</v>
      </c>
      <c r="D2667" t="s">
        <v>33</v>
      </c>
      <c r="E2667" t="s">
        <v>34</v>
      </c>
      <c r="F2667" t="str">
        <f>"0002973"</f>
        <v>0002973</v>
      </c>
      <c r="G2667">
        <v>1</v>
      </c>
      <c r="H2667" t="str">
        <f>"00000000"</f>
        <v>00000000</v>
      </c>
      <c r="I2667" t="s">
        <v>35</v>
      </c>
      <c r="J2667"/>
      <c r="K2667">
        <v>14.93</v>
      </c>
      <c r="L2667">
        <v>0.0</v>
      </c>
      <c r="M2667"/>
      <c r="N2667"/>
      <c r="O2667">
        <v>2.69</v>
      </c>
      <c r="P2667">
        <v>0.0</v>
      </c>
      <c r="Q2667">
        <v>17.62</v>
      </c>
      <c r="R2667"/>
      <c r="S2667"/>
      <c r="T2667"/>
      <c r="U2667"/>
      <c r="V2667"/>
      <c r="W2667">
        <v>18</v>
      </c>
    </row>
    <row r="2668" spans="1:23">
      <c r="A2668"/>
      <c r="B2668" t="s">
        <v>74</v>
      </c>
      <c r="C2668" t="s">
        <v>74</v>
      </c>
      <c r="D2668" t="s">
        <v>33</v>
      </c>
      <c r="E2668" t="s">
        <v>34</v>
      </c>
      <c r="F2668" t="str">
        <f>"0002974"</f>
        <v>0002974</v>
      </c>
      <c r="G2668">
        <v>1</v>
      </c>
      <c r="H2668" t="str">
        <f>"00000000"</f>
        <v>00000000</v>
      </c>
      <c r="I2668" t="s">
        <v>35</v>
      </c>
      <c r="J2668"/>
      <c r="K2668">
        <v>5.97</v>
      </c>
      <c r="L2668">
        <v>0.0</v>
      </c>
      <c r="M2668"/>
      <c r="N2668"/>
      <c r="O2668">
        <v>1.07</v>
      </c>
      <c r="P2668">
        <v>0.0</v>
      </c>
      <c r="Q2668">
        <v>7.04</v>
      </c>
      <c r="R2668"/>
      <c r="S2668"/>
      <c r="T2668"/>
      <c r="U2668"/>
      <c r="V2668"/>
      <c r="W2668">
        <v>18</v>
      </c>
    </row>
    <row r="2669" spans="1:23">
      <c r="A2669"/>
      <c r="B2669" t="s">
        <v>74</v>
      </c>
      <c r="C2669" t="s">
        <v>74</v>
      </c>
      <c r="D2669" t="s">
        <v>33</v>
      </c>
      <c r="E2669" t="s">
        <v>34</v>
      </c>
      <c r="F2669" t="str">
        <f>"0002975"</f>
        <v>0002975</v>
      </c>
      <c r="G2669">
        <v>1</v>
      </c>
      <c r="H2669" t="str">
        <f>"00000000"</f>
        <v>00000000</v>
      </c>
      <c r="I2669" t="s">
        <v>35</v>
      </c>
      <c r="J2669"/>
      <c r="K2669">
        <v>3.81</v>
      </c>
      <c r="L2669">
        <v>0.0</v>
      </c>
      <c r="M2669"/>
      <c r="N2669"/>
      <c r="O2669">
        <v>0.69</v>
      </c>
      <c r="P2669">
        <v>0.0</v>
      </c>
      <c r="Q2669">
        <v>4.5</v>
      </c>
      <c r="R2669"/>
      <c r="S2669"/>
      <c r="T2669"/>
      <c r="U2669"/>
      <c r="V2669"/>
      <c r="W2669">
        <v>18</v>
      </c>
    </row>
    <row r="2670" spans="1:23">
      <c r="A2670"/>
      <c r="B2670" t="s">
        <v>74</v>
      </c>
      <c r="C2670" t="s">
        <v>74</v>
      </c>
      <c r="D2670" t="s">
        <v>33</v>
      </c>
      <c r="E2670" t="s">
        <v>34</v>
      </c>
      <c r="F2670" t="str">
        <f>"0002976"</f>
        <v>0002976</v>
      </c>
      <c r="G2670">
        <v>1</v>
      </c>
      <c r="H2670" t="str">
        <f>"00000000"</f>
        <v>00000000</v>
      </c>
      <c r="I2670" t="s">
        <v>35</v>
      </c>
      <c r="J2670"/>
      <c r="K2670">
        <v>10.36</v>
      </c>
      <c r="L2670">
        <v>0.0</v>
      </c>
      <c r="M2670"/>
      <c r="N2670"/>
      <c r="O2670">
        <v>1.87</v>
      </c>
      <c r="P2670">
        <v>0.0</v>
      </c>
      <c r="Q2670">
        <v>12.23</v>
      </c>
      <c r="R2670"/>
      <c r="S2670"/>
      <c r="T2670"/>
      <c r="U2670"/>
      <c r="V2670"/>
      <c r="W2670">
        <v>18</v>
      </c>
    </row>
    <row r="2671" spans="1:23">
      <c r="A2671"/>
      <c r="B2671" t="s">
        <v>74</v>
      </c>
      <c r="C2671" t="s">
        <v>74</v>
      </c>
      <c r="D2671" t="s">
        <v>33</v>
      </c>
      <c r="E2671" t="s">
        <v>34</v>
      </c>
      <c r="F2671" t="str">
        <f>"0002977"</f>
        <v>0002977</v>
      </c>
      <c r="G2671">
        <v>1</v>
      </c>
      <c r="H2671" t="str">
        <f>"00000000"</f>
        <v>00000000</v>
      </c>
      <c r="I2671" t="s">
        <v>35</v>
      </c>
      <c r="J2671"/>
      <c r="K2671">
        <v>46.97</v>
      </c>
      <c r="L2671">
        <v>0.0</v>
      </c>
      <c r="M2671"/>
      <c r="N2671"/>
      <c r="O2671">
        <v>8.45</v>
      </c>
      <c r="P2671">
        <v>0.2</v>
      </c>
      <c r="Q2671">
        <v>55.62</v>
      </c>
      <c r="R2671"/>
      <c r="S2671"/>
      <c r="T2671"/>
      <c r="U2671"/>
      <c r="V2671"/>
      <c r="W2671">
        <v>18</v>
      </c>
    </row>
    <row r="2672" spans="1:23">
      <c r="A2672"/>
      <c r="B2672" t="s">
        <v>74</v>
      </c>
      <c r="C2672" t="s">
        <v>74</v>
      </c>
      <c r="D2672" t="s">
        <v>33</v>
      </c>
      <c r="E2672" t="s">
        <v>34</v>
      </c>
      <c r="F2672" t="str">
        <f>"0002978"</f>
        <v>0002978</v>
      </c>
      <c r="G2672">
        <v>1</v>
      </c>
      <c r="H2672" t="str">
        <f>"00000000"</f>
        <v>00000000</v>
      </c>
      <c r="I2672" t="s">
        <v>35</v>
      </c>
      <c r="J2672"/>
      <c r="K2672">
        <v>4.58</v>
      </c>
      <c r="L2672">
        <v>0.0</v>
      </c>
      <c r="M2672"/>
      <c r="N2672"/>
      <c r="O2672">
        <v>0.82</v>
      </c>
      <c r="P2672">
        <v>0.0</v>
      </c>
      <c r="Q2672">
        <v>5.41</v>
      </c>
      <c r="R2672"/>
      <c r="S2672"/>
      <c r="T2672"/>
      <c r="U2672"/>
      <c r="V2672"/>
      <c r="W2672">
        <v>18</v>
      </c>
    </row>
    <row r="2673" spans="1:23">
      <c r="A2673"/>
      <c r="B2673" t="s">
        <v>74</v>
      </c>
      <c r="C2673" t="s">
        <v>74</v>
      </c>
      <c r="D2673" t="s">
        <v>33</v>
      </c>
      <c r="E2673" t="s">
        <v>34</v>
      </c>
      <c r="F2673" t="str">
        <f>"0002979"</f>
        <v>0002979</v>
      </c>
      <c r="G2673">
        <v>1</v>
      </c>
      <c r="H2673" t="str">
        <f>"00000000"</f>
        <v>00000000</v>
      </c>
      <c r="I2673" t="s">
        <v>35</v>
      </c>
      <c r="J2673"/>
      <c r="K2673">
        <v>5.34</v>
      </c>
      <c r="L2673">
        <v>0.0</v>
      </c>
      <c r="M2673"/>
      <c r="N2673"/>
      <c r="O2673">
        <v>0.96</v>
      </c>
      <c r="P2673">
        <v>0.0</v>
      </c>
      <c r="Q2673">
        <v>6.3</v>
      </c>
      <c r="R2673"/>
      <c r="S2673"/>
      <c r="T2673"/>
      <c r="U2673"/>
      <c r="V2673"/>
      <c r="W2673">
        <v>18</v>
      </c>
    </row>
    <row r="2674" spans="1:23">
      <c r="A2674"/>
      <c r="B2674" t="s">
        <v>74</v>
      </c>
      <c r="C2674" t="s">
        <v>74</v>
      </c>
      <c r="D2674" t="s">
        <v>33</v>
      </c>
      <c r="E2674" t="s">
        <v>34</v>
      </c>
      <c r="F2674" t="str">
        <f>"0002980"</f>
        <v>0002980</v>
      </c>
      <c r="G2674">
        <v>1</v>
      </c>
      <c r="H2674" t="str">
        <f>"00000000"</f>
        <v>00000000</v>
      </c>
      <c r="I2674" t="s">
        <v>35</v>
      </c>
      <c r="J2674"/>
      <c r="K2674">
        <v>4.99</v>
      </c>
      <c r="L2674">
        <v>0.0</v>
      </c>
      <c r="M2674"/>
      <c r="N2674"/>
      <c r="O2674">
        <v>0.9</v>
      </c>
      <c r="P2674">
        <v>0.0</v>
      </c>
      <c r="Q2674">
        <v>5.89</v>
      </c>
      <c r="R2674"/>
      <c r="S2674"/>
      <c r="T2674"/>
      <c r="U2674"/>
      <c r="V2674"/>
      <c r="W2674">
        <v>18</v>
      </c>
    </row>
    <row r="2675" spans="1:23">
      <c r="A2675"/>
      <c r="B2675" t="s">
        <v>74</v>
      </c>
      <c r="C2675" t="s">
        <v>74</v>
      </c>
      <c r="D2675" t="s">
        <v>33</v>
      </c>
      <c r="E2675" t="s">
        <v>34</v>
      </c>
      <c r="F2675" t="str">
        <f>"0002981"</f>
        <v>0002981</v>
      </c>
      <c r="G2675">
        <v>1</v>
      </c>
      <c r="H2675" t="str">
        <f>"00000000"</f>
        <v>00000000</v>
      </c>
      <c r="I2675" t="s">
        <v>35</v>
      </c>
      <c r="J2675"/>
      <c r="K2675">
        <v>16.51</v>
      </c>
      <c r="L2675">
        <v>0.0</v>
      </c>
      <c r="M2675"/>
      <c r="N2675"/>
      <c r="O2675">
        <v>2.97</v>
      </c>
      <c r="P2675">
        <v>0.4</v>
      </c>
      <c r="Q2675">
        <v>19.88</v>
      </c>
      <c r="R2675"/>
      <c r="S2675"/>
      <c r="T2675"/>
      <c r="U2675"/>
      <c r="V2675"/>
      <c r="W2675">
        <v>18</v>
      </c>
    </row>
    <row r="2676" spans="1:23">
      <c r="A2676"/>
      <c r="B2676" t="s">
        <v>74</v>
      </c>
      <c r="C2676" t="s">
        <v>74</v>
      </c>
      <c r="D2676" t="s">
        <v>36</v>
      </c>
      <c r="E2676" t="s">
        <v>37</v>
      </c>
      <c r="F2676" t="str">
        <f>"0000039"</f>
        <v>0000039</v>
      </c>
      <c r="G2676">
        <v>6</v>
      </c>
      <c r="H2676" t="str">
        <f>"20479549916"</f>
        <v>20479549916</v>
      </c>
      <c r="I2676" t="s">
        <v>40</v>
      </c>
      <c r="J2676"/>
      <c r="K2676">
        <v>19.07</v>
      </c>
      <c r="L2676">
        <v>0.0</v>
      </c>
      <c r="M2676"/>
      <c r="N2676"/>
      <c r="O2676">
        <v>3.43</v>
      </c>
      <c r="P2676">
        <v>0.0</v>
      </c>
      <c r="Q2676">
        <v>22.5</v>
      </c>
      <c r="R2676"/>
      <c r="S2676"/>
      <c r="T2676"/>
      <c r="U2676"/>
      <c r="V2676"/>
      <c r="W2676">
        <v>18</v>
      </c>
    </row>
    <row r="2677" spans="1:23">
      <c r="A2677"/>
      <c r="B2677" t="s">
        <v>74</v>
      </c>
      <c r="C2677" t="s">
        <v>74</v>
      </c>
      <c r="D2677" t="s">
        <v>33</v>
      </c>
      <c r="E2677" t="s">
        <v>34</v>
      </c>
      <c r="F2677" t="str">
        <f>"0002982"</f>
        <v>0002982</v>
      </c>
      <c r="G2677">
        <v>1</v>
      </c>
      <c r="H2677" t="str">
        <f>"00000000"</f>
        <v>00000000</v>
      </c>
      <c r="I2677" t="s">
        <v>35</v>
      </c>
      <c r="J2677"/>
      <c r="K2677">
        <v>0.02</v>
      </c>
      <c r="L2677">
        <v>0.0</v>
      </c>
      <c r="M2677"/>
      <c r="N2677"/>
      <c r="O2677">
        <v>0.0</v>
      </c>
      <c r="P2677">
        <v>0.2</v>
      </c>
      <c r="Q2677">
        <v>0.22</v>
      </c>
      <c r="R2677"/>
      <c r="S2677"/>
      <c r="T2677"/>
      <c r="U2677"/>
      <c r="V2677"/>
      <c r="W2677">
        <v>18</v>
      </c>
    </row>
    <row r="2678" spans="1:23">
      <c r="A2678"/>
      <c r="B2678" t="s">
        <v>74</v>
      </c>
      <c r="C2678" t="s">
        <v>74</v>
      </c>
      <c r="D2678" t="s">
        <v>36</v>
      </c>
      <c r="E2678" t="s">
        <v>37</v>
      </c>
      <c r="F2678" t="str">
        <f>"0000040"</f>
        <v>0000040</v>
      </c>
      <c r="G2678">
        <v>6</v>
      </c>
      <c r="H2678" t="str">
        <f>"10164484292"</f>
        <v>10164484292</v>
      </c>
      <c r="I2678" t="s">
        <v>75</v>
      </c>
      <c r="J2678"/>
      <c r="K2678">
        <v>53.25</v>
      </c>
      <c r="L2678">
        <v>0.0</v>
      </c>
      <c r="M2678"/>
      <c r="N2678"/>
      <c r="O2678">
        <v>9.59</v>
      </c>
      <c r="P2678">
        <v>0.4</v>
      </c>
      <c r="Q2678">
        <v>63.24</v>
      </c>
      <c r="R2678"/>
      <c r="S2678"/>
      <c r="T2678"/>
      <c r="U2678"/>
      <c r="V2678"/>
      <c r="W2678">
        <v>18</v>
      </c>
    </row>
    <row r="2679" spans="1:23">
      <c r="A2679"/>
      <c r="B2679" t="s">
        <v>74</v>
      </c>
      <c r="C2679" t="s">
        <v>74</v>
      </c>
      <c r="D2679" t="s">
        <v>33</v>
      </c>
      <c r="E2679" t="s">
        <v>34</v>
      </c>
      <c r="F2679" t="str">
        <f>"0002983"</f>
        <v>0002983</v>
      </c>
      <c r="G2679">
        <v>1</v>
      </c>
      <c r="H2679" t="str">
        <f>"00000000"</f>
        <v>00000000</v>
      </c>
      <c r="I2679" t="s">
        <v>35</v>
      </c>
      <c r="J2679"/>
      <c r="K2679">
        <v>13.01</v>
      </c>
      <c r="L2679">
        <v>0.0</v>
      </c>
      <c r="M2679"/>
      <c r="N2679"/>
      <c r="O2679">
        <v>2.34</v>
      </c>
      <c r="P2679">
        <v>0.0</v>
      </c>
      <c r="Q2679">
        <v>15.35</v>
      </c>
      <c r="R2679"/>
      <c r="S2679"/>
      <c r="T2679"/>
      <c r="U2679"/>
      <c r="V2679"/>
      <c r="W2679">
        <v>18</v>
      </c>
    </row>
    <row r="2680" spans="1:23">
      <c r="A2680"/>
      <c r="B2680" t="s">
        <v>74</v>
      </c>
      <c r="C2680" t="s">
        <v>74</v>
      </c>
      <c r="D2680" t="s">
        <v>33</v>
      </c>
      <c r="E2680" t="s">
        <v>34</v>
      </c>
      <c r="F2680" t="str">
        <f>"0002984"</f>
        <v>0002984</v>
      </c>
      <c r="G2680">
        <v>1</v>
      </c>
      <c r="H2680" t="str">
        <f>"00000000"</f>
        <v>00000000</v>
      </c>
      <c r="I2680" t="s">
        <v>35</v>
      </c>
      <c r="J2680"/>
      <c r="K2680">
        <v>2.71</v>
      </c>
      <c r="L2680">
        <v>0.0</v>
      </c>
      <c r="M2680"/>
      <c r="N2680"/>
      <c r="O2680">
        <v>0.49</v>
      </c>
      <c r="P2680">
        <v>0.0</v>
      </c>
      <c r="Q2680">
        <v>3.2</v>
      </c>
      <c r="R2680"/>
      <c r="S2680"/>
      <c r="T2680"/>
      <c r="U2680"/>
      <c r="V2680"/>
      <c r="W2680">
        <v>18</v>
      </c>
    </row>
    <row r="2681" spans="1:23">
      <c r="A2681"/>
      <c r="B2681" t="s">
        <v>74</v>
      </c>
      <c r="C2681" t="s">
        <v>74</v>
      </c>
      <c r="D2681" t="s">
        <v>33</v>
      </c>
      <c r="E2681" t="s">
        <v>34</v>
      </c>
      <c r="F2681" t="str">
        <f>"0002985"</f>
        <v>0002985</v>
      </c>
      <c r="G2681">
        <v>1</v>
      </c>
      <c r="H2681" t="str">
        <f>"00000000"</f>
        <v>00000000</v>
      </c>
      <c r="I2681" t="s">
        <v>35</v>
      </c>
      <c r="J2681"/>
      <c r="K2681">
        <v>5.08</v>
      </c>
      <c r="L2681">
        <v>0.0</v>
      </c>
      <c r="M2681"/>
      <c r="N2681"/>
      <c r="O2681">
        <v>0.92</v>
      </c>
      <c r="P2681">
        <v>0.0</v>
      </c>
      <c r="Q2681">
        <v>6.0</v>
      </c>
      <c r="R2681"/>
      <c r="S2681"/>
      <c r="T2681"/>
      <c r="U2681"/>
      <c r="V2681"/>
      <c r="W2681">
        <v>18</v>
      </c>
    </row>
    <row r="2682" spans="1:23">
      <c r="A2682"/>
      <c r="B2682" t="s">
        <v>74</v>
      </c>
      <c r="C2682" t="s">
        <v>74</v>
      </c>
      <c r="D2682" t="s">
        <v>33</v>
      </c>
      <c r="E2682" t="s">
        <v>34</v>
      </c>
      <c r="F2682" t="str">
        <f>"0002986"</f>
        <v>0002986</v>
      </c>
      <c r="G2682">
        <v>1</v>
      </c>
      <c r="H2682" t="str">
        <f>"00000000"</f>
        <v>00000000</v>
      </c>
      <c r="I2682" t="s">
        <v>35</v>
      </c>
      <c r="J2682"/>
      <c r="K2682">
        <v>15.45</v>
      </c>
      <c r="L2682">
        <v>0.0</v>
      </c>
      <c r="M2682"/>
      <c r="N2682"/>
      <c r="O2682">
        <v>2.78</v>
      </c>
      <c r="P2682">
        <v>0.2</v>
      </c>
      <c r="Q2682">
        <v>18.43</v>
      </c>
      <c r="R2682"/>
      <c r="S2682"/>
      <c r="T2682"/>
      <c r="U2682"/>
      <c r="V2682"/>
      <c r="W2682">
        <v>18</v>
      </c>
    </row>
    <row r="2683" spans="1:23">
      <c r="A2683"/>
      <c r="B2683" t="s">
        <v>74</v>
      </c>
      <c r="C2683" t="s">
        <v>74</v>
      </c>
      <c r="D2683" t="s">
        <v>33</v>
      </c>
      <c r="E2683" t="s">
        <v>34</v>
      </c>
      <c r="F2683" t="str">
        <f>"0002987"</f>
        <v>0002987</v>
      </c>
      <c r="G2683">
        <v>1</v>
      </c>
      <c r="H2683" t="str">
        <f>"00000000"</f>
        <v>00000000</v>
      </c>
      <c r="I2683" t="s">
        <v>35</v>
      </c>
      <c r="J2683"/>
      <c r="K2683">
        <v>5.42</v>
      </c>
      <c r="L2683">
        <v>0.0</v>
      </c>
      <c r="M2683"/>
      <c r="N2683"/>
      <c r="O2683">
        <v>0.97</v>
      </c>
      <c r="P2683">
        <v>0.0</v>
      </c>
      <c r="Q2683">
        <v>6.39</v>
      </c>
      <c r="R2683"/>
      <c r="S2683"/>
      <c r="T2683"/>
      <c r="U2683"/>
      <c r="V2683"/>
      <c r="W2683">
        <v>18</v>
      </c>
    </row>
    <row r="2684" spans="1:23">
      <c r="A2684"/>
      <c r="B2684" t="s">
        <v>74</v>
      </c>
      <c r="C2684" t="s">
        <v>74</v>
      </c>
      <c r="D2684" t="s">
        <v>33</v>
      </c>
      <c r="E2684" t="s">
        <v>34</v>
      </c>
      <c r="F2684" t="str">
        <f>"0002988"</f>
        <v>0002988</v>
      </c>
      <c r="G2684">
        <v>1</v>
      </c>
      <c r="H2684" t="str">
        <f>"00000000"</f>
        <v>00000000</v>
      </c>
      <c r="I2684" t="s">
        <v>35</v>
      </c>
      <c r="J2684"/>
      <c r="K2684">
        <v>147.73</v>
      </c>
      <c r="L2684">
        <v>0.0</v>
      </c>
      <c r="M2684"/>
      <c r="N2684"/>
      <c r="O2684">
        <v>26.59</v>
      </c>
      <c r="P2684">
        <v>1.0</v>
      </c>
      <c r="Q2684">
        <v>175.32</v>
      </c>
      <c r="R2684"/>
      <c r="S2684"/>
      <c r="T2684"/>
      <c r="U2684"/>
      <c r="V2684"/>
      <c r="W2684">
        <v>18</v>
      </c>
    </row>
    <row r="2685" spans="1:23">
      <c r="A2685"/>
      <c r="B2685" t="s">
        <v>74</v>
      </c>
      <c r="C2685" t="s">
        <v>74</v>
      </c>
      <c r="D2685" t="s">
        <v>33</v>
      </c>
      <c r="E2685" t="s">
        <v>34</v>
      </c>
      <c r="F2685" t="str">
        <f>"0002989"</f>
        <v>0002989</v>
      </c>
      <c r="G2685">
        <v>1</v>
      </c>
      <c r="H2685" t="str">
        <f>"00000000"</f>
        <v>00000000</v>
      </c>
      <c r="I2685" t="s">
        <v>35</v>
      </c>
      <c r="J2685"/>
      <c r="K2685">
        <v>16.86</v>
      </c>
      <c r="L2685">
        <v>0.0</v>
      </c>
      <c r="M2685"/>
      <c r="N2685"/>
      <c r="O2685">
        <v>3.04</v>
      </c>
      <c r="P2685">
        <v>0.0</v>
      </c>
      <c r="Q2685">
        <v>19.9</v>
      </c>
      <c r="R2685"/>
      <c r="S2685"/>
      <c r="T2685"/>
      <c r="U2685"/>
      <c r="V2685"/>
      <c r="W2685">
        <v>18</v>
      </c>
    </row>
    <row r="2686" spans="1:23">
      <c r="A2686"/>
      <c r="B2686" t="s">
        <v>74</v>
      </c>
      <c r="C2686" t="s">
        <v>74</v>
      </c>
      <c r="D2686" t="s">
        <v>33</v>
      </c>
      <c r="E2686" t="s">
        <v>34</v>
      </c>
      <c r="F2686" t="str">
        <f>"0002990"</f>
        <v>0002990</v>
      </c>
      <c r="G2686">
        <v>1</v>
      </c>
      <c r="H2686" t="str">
        <f>"00000000"</f>
        <v>00000000</v>
      </c>
      <c r="I2686" t="s">
        <v>35</v>
      </c>
      <c r="J2686"/>
      <c r="K2686">
        <v>23.22</v>
      </c>
      <c r="L2686">
        <v>0.0</v>
      </c>
      <c r="M2686"/>
      <c r="N2686"/>
      <c r="O2686">
        <v>4.18</v>
      </c>
      <c r="P2686">
        <v>0.0</v>
      </c>
      <c r="Q2686">
        <v>27.4</v>
      </c>
      <c r="R2686"/>
      <c r="S2686"/>
      <c r="T2686"/>
      <c r="U2686"/>
      <c r="V2686"/>
      <c r="W2686">
        <v>18</v>
      </c>
    </row>
    <row r="2687" spans="1:23">
      <c r="A2687"/>
      <c r="B2687" t="s">
        <v>74</v>
      </c>
      <c r="C2687" t="s">
        <v>74</v>
      </c>
      <c r="D2687" t="s">
        <v>33</v>
      </c>
      <c r="E2687" t="s">
        <v>34</v>
      </c>
      <c r="F2687" t="str">
        <f>"0002991"</f>
        <v>0002991</v>
      </c>
      <c r="G2687">
        <v>1</v>
      </c>
      <c r="H2687" t="str">
        <f>"00000000"</f>
        <v>00000000</v>
      </c>
      <c r="I2687" t="s">
        <v>35</v>
      </c>
      <c r="J2687"/>
      <c r="K2687">
        <v>1.71</v>
      </c>
      <c r="L2687">
        <v>0.0</v>
      </c>
      <c r="M2687"/>
      <c r="N2687"/>
      <c r="O2687">
        <v>0.31</v>
      </c>
      <c r="P2687">
        <v>0.0</v>
      </c>
      <c r="Q2687">
        <v>2.01</v>
      </c>
      <c r="R2687"/>
      <c r="S2687"/>
      <c r="T2687"/>
      <c r="U2687"/>
      <c r="V2687"/>
      <c r="W2687">
        <v>18</v>
      </c>
    </row>
    <row r="2688" spans="1:23">
      <c r="A2688"/>
      <c r="B2688" t="s">
        <v>74</v>
      </c>
      <c r="C2688" t="s">
        <v>74</v>
      </c>
      <c r="D2688" t="s">
        <v>33</v>
      </c>
      <c r="E2688" t="s">
        <v>34</v>
      </c>
      <c r="F2688" t="str">
        <f>"0002992"</f>
        <v>0002992</v>
      </c>
      <c r="G2688">
        <v>1</v>
      </c>
      <c r="H2688" t="str">
        <f>"00000000"</f>
        <v>00000000</v>
      </c>
      <c r="I2688" t="s">
        <v>35</v>
      </c>
      <c r="J2688"/>
      <c r="K2688">
        <v>33.87</v>
      </c>
      <c r="L2688">
        <v>0.0</v>
      </c>
      <c r="M2688"/>
      <c r="N2688"/>
      <c r="O2688">
        <v>6.1</v>
      </c>
      <c r="P2688">
        <v>0.0</v>
      </c>
      <c r="Q2688">
        <v>39.96</v>
      </c>
      <c r="R2688"/>
      <c r="S2688"/>
      <c r="T2688"/>
      <c r="U2688"/>
      <c r="V2688"/>
      <c r="W2688">
        <v>18</v>
      </c>
    </row>
    <row r="2689" spans="1:23">
      <c r="A2689"/>
      <c r="B2689" t="s">
        <v>74</v>
      </c>
      <c r="C2689" t="s">
        <v>74</v>
      </c>
      <c r="D2689" t="s">
        <v>33</v>
      </c>
      <c r="E2689" t="s">
        <v>34</v>
      </c>
      <c r="F2689" t="str">
        <f>"0002993"</f>
        <v>0002993</v>
      </c>
      <c r="G2689">
        <v>1</v>
      </c>
      <c r="H2689" t="str">
        <f>"00000000"</f>
        <v>00000000</v>
      </c>
      <c r="I2689" t="s">
        <v>35</v>
      </c>
      <c r="J2689"/>
      <c r="K2689">
        <v>4.15</v>
      </c>
      <c r="L2689">
        <v>0.0</v>
      </c>
      <c r="M2689"/>
      <c r="N2689"/>
      <c r="O2689">
        <v>0.75</v>
      </c>
      <c r="P2689">
        <v>0.0</v>
      </c>
      <c r="Q2689">
        <v>4.9</v>
      </c>
      <c r="R2689"/>
      <c r="S2689"/>
      <c r="T2689"/>
      <c r="U2689"/>
      <c r="V2689"/>
      <c r="W2689">
        <v>18</v>
      </c>
    </row>
    <row r="2690" spans="1:23">
      <c r="A2690"/>
      <c r="B2690" t="s">
        <v>74</v>
      </c>
      <c r="C2690" t="s">
        <v>74</v>
      </c>
      <c r="D2690" t="s">
        <v>33</v>
      </c>
      <c r="E2690" t="s">
        <v>34</v>
      </c>
      <c r="F2690" t="str">
        <f>"0002994"</f>
        <v>0002994</v>
      </c>
      <c r="G2690">
        <v>1</v>
      </c>
      <c r="H2690" t="str">
        <f>"00000000"</f>
        <v>00000000</v>
      </c>
      <c r="I2690" t="s">
        <v>35</v>
      </c>
      <c r="J2690"/>
      <c r="K2690">
        <v>59.36</v>
      </c>
      <c r="L2690">
        <v>0.0</v>
      </c>
      <c r="M2690"/>
      <c r="N2690"/>
      <c r="O2690">
        <v>10.68</v>
      </c>
      <c r="P2690">
        <v>0.4</v>
      </c>
      <c r="Q2690">
        <v>70.44</v>
      </c>
      <c r="R2690"/>
      <c r="S2690"/>
      <c r="T2690"/>
      <c r="U2690"/>
      <c r="V2690"/>
      <c r="W2690">
        <v>18</v>
      </c>
    </row>
    <row r="2691" spans="1:23">
      <c r="A2691"/>
      <c r="B2691" t="s">
        <v>74</v>
      </c>
      <c r="C2691" t="s">
        <v>74</v>
      </c>
      <c r="D2691" t="s">
        <v>33</v>
      </c>
      <c r="E2691" t="s">
        <v>34</v>
      </c>
      <c r="F2691" t="str">
        <f>"0002995"</f>
        <v>0002995</v>
      </c>
      <c r="G2691">
        <v>1</v>
      </c>
      <c r="H2691" t="str">
        <f>"00000000"</f>
        <v>00000000</v>
      </c>
      <c r="I2691" t="s">
        <v>35</v>
      </c>
      <c r="J2691"/>
      <c r="K2691">
        <v>8.98</v>
      </c>
      <c r="L2691">
        <v>0.0</v>
      </c>
      <c r="M2691"/>
      <c r="N2691"/>
      <c r="O2691">
        <v>1.62</v>
      </c>
      <c r="P2691">
        <v>0.2</v>
      </c>
      <c r="Q2691">
        <v>10.79</v>
      </c>
      <c r="R2691"/>
      <c r="S2691"/>
      <c r="T2691"/>
      <c r="U2691"/>
      <c r="V2691"/>
      <c r="W2691">
        <v>18</v>
      </c>
    </row>
    <row r="2692" spans="1:23">
      <c r="A2692"/>
      <c r="B2692" t="s">
        <v>74</v>
      </c>
      <c r="C2692" t="s">
        <v>74</v>
      </c>
      <c r="D2692" t="s">
        <v>33</v>
      </c>
      <c r="E2692" t="s">
        <v>34</v>
      </c>
      <c r="F2692" t="str">
        <f>"0002996"</f>
        <v>0002996</v>
      </c>
      <c r="G2692">
        <v>1</v>
      </c>
      <c r="H2692" t="str">
        <f>"00000000"</f>
        <v>00000000</v>
      </c>
      <c r="I2692" t="s">
        <v>35</v>
      </c>
      <c r="J2692"/>
      <c r="K2692">
        <v>1.44</v>
      </c>
      <c r="L2692">
        <v>0.0</v>
      </c>
      <c r="M2692"/>
      <c r="N2692"/>
      <c r="O2692">
        <v>0.26</v>
      </c>
      <c r="P2692">
        <v>0.0</v>
      </c>
      <c r="Q2692">
        <v>1.7</v>
      </c>
      <c r="R2692"/>
      <c r="S2692"/>
      <c r="T2692"/>
      <c r="U2692"/>
      <c r="V2692"/>
      <c r="W2692">
        <v>18</v>
      </c>
    </row>
    <row r="2693" spans="1:23">
      <c r="A2693"/>
      <c r="B2693" t="s">
        <v>74</v>
      </c>
      <c r="C2693" t="s">
        <v>74</v>
      </c>
      <c r="D2693" t="s">
        <v>33</v>
      </c>
      <c r="E2693" t="s">
        <v>34</v>
      </c>
      <c r="F2693" t="str">
        <f>"0002997"</f>
        <v>0002997</v>
      </c>
      <c r="G2693">
        <v>1</v>
      </c>
      <c r="H2693" t="str">
        <f>"00000000"</f>
        <v>00000000</v>
      </c>
      <c r="I2693" t="s">
        <v>35</v>
      </c>
      <c r="J2693"/>
      <c r="K2693">
        <v>11.03</v>
      </c>
      <c r="L2693">
        <v>0.0</v>
      </c>
      <c r="M2693"/>
      <c r="N2693"/>
      <c r="O2693">
        <v>1.99</v>
      </c>
      <c r="P2693">
        <v>0.2</v>
      </c>
      <c r="Q2693">
        <v>13.22</v>
      </c>
      <c r="R2693"/>
      <c r="S2693"/>
      <c r="T2693"/>
      <c r="U2693"/>
      <c r="V2693"/>
      <c r="W2693">
        <v>18</v>
      </c>
    </row>
    <row r="2694" spans="1:23">
      <c r="A2694"/>
      <c r="B2694" t="s">
        <v>74</v>
      </c>
      <c r="C2694" t="s">
        <v>74</v>
      </c>
      <c r="D2694" t="s">
        <v>33</v>
      </c>
      <c r="E2694" t="s">
        <v>34</v>
      </c>
      <c r="F2694" t="str">
        <f>"0002998"</f>
        <v>0002998</v>
      </c>
      <c r="G2694">
        <v>1</v>
      </c>
      <c r="H2694" t="str">
        <f>"00000000"</f>
        <v>00000000</v>
      </c>
      <c r="I2694" t="s">
        <v>35</v>
      </c>
      <c r="J2694"/>
      <c r="K2694">
        <v>0.85</v>
      </c>
      <c r="L2694">
        <v>0.0</v>
      </c>
      <c r="M2694"/>
      <c r="N2694"/>
      <c r="O2694">
        <v>0.15</v>
      </c>
      <c r="P2694">
        <v>0.0</v>
      </c>
      <c r="Q2694">
        <v>1.0</v>
      </c>
      <c r="R2694"/>
      <c r="S2694"/>
      <c r="T2694"/>
      <c r="U2694"/>
      <c r="V2694"/>
      <c r="W2694">
        <v>18</v>
      </c>
    </row>
    <row r="2695" spans="1:23">
      <c r="A2695"/>
      <c r="B2695" t="s">
        <v>74</v>
      </c>
      <c r="C2695" t="s">
        <v>74</v>
      </c>
      <c r="D2695" t="s">
        <v>33</v>
      </c>
      <c r="E2695" t="s">
        <v>34</v>
      </c>
      <c r="F2695" t="str">
        <f>"0002999"</f>
        <v>0002999</v>
      </c>
      <c r="G2695">
        <v>1</v>
      </c>
      <c r="H2695" t="str">
        <f>"00000000"</f>
        <v>00000000</v>
      </c>
      <c r="I2695" t="s">
        <v>35</v>
      </c>
      <c r="J2695"/>
      <c r="K2695">
        <v>1.69</v>
      </c>
      <c r="L2695">
        <v>0.0</v>
      </c>
      <c r="M2695"/>
      <c r="N2695"/>
      <c r="O2695">
        <v>0.31</v>
      </c>
      <c r="P2695">
        <v>0.0</v>
      </c>
      <c r="Q2695">
        <v>2.0</v>
      </c>
      <c r="R2695"/>
      <c r="S2695"/>
      <c r="T2695"/>
      <c r="U2695"/>
      <c r="V2695"/>
      <c r="W2695">
        <v>18</v>
      </c>
    </row>
    <row r="2696" spans="1:23">
      <c r="A2696"/>
      <c r="B2696" t="s">
        <v>74</v>
      </c>
      <c r="C2696" t="s">
        <v>74</v>
      </c>
      <c r="D2696" t="s">
        <v>33</v>
      </c>
      <c r="E2696" t="s">
        <v>34</v>
      </c>
      <c r="F2696" t="str">
        <f>"0003000"</f>
        <v>0003000</v>
      </c>
      <c r="G2696">
        <v>1</v>
      </c>
      <c r="H2696" t="str">
        <f>"00000000"</f>
        <v>00000000</v>
      </c>
      <c r="I2696" t="s">
        <v>35</v>
      </c>
      <c r="J2696"/>
      <c r="K2696">
        <v>25.96</v>
      </c>
      <c r="L2696">
        <v>0.0</v>
      </c>
      <c r="M2696"/>
      <c r="N2696"/>
      <c r="O2696">
        <v>4.67</v>
      </c>
      <c r="P2696">
        <v>0.2</v>
      </c>
      <c r="Q2696">
        <v>30.84</v>
      </c>
      <c r="R2696"/>
      <c r="S2696"/>
      <c r="T2696"/>
      <c r="U2696"/>
      <c r="V2696"/>
      <c r="W2696">
        <v>18</v>
      </c>
    </row>
    <row r="2697" spans="1:23">
      <c r="A2697"/>
      <c r="B2697" t="s">
        <v>74</v>
      </c>
      <c r="C2697" t="s">
        <v>74</v>
      </c>
      <c r="D2697" t="s">
        <v>33</v>
      </c>
      <c r="E2697" t="s">
        <v>34</v>
      </c>
      <c r="F2697" t="str">
        <f>"0003001"</f>
        <v>0003001</v>
      </c>
      <c r="G2697">
        <v>1</v>
      </c>
      <c r="H2697" t="str">
        <f>"00000000"</f>
        <v>00000000</v>
      </c>
      <c r="I2697" t="s">
        <v>35</v>
      </c>
      <c r="J2697"/>
      <c r="K2697">
        <v>16.02</v>
      </c>
      <c r="L2697">
        <v>0.0</v>
      </c>
      <c r="M2697"/>
      <c r="N2697"/>
      <c r="O2697">
        <v>2.88</v>
      </c>
      <c r="P2697">
        <v>0.0</v>
      </c>
      <c r="Q2697">
        <v>18.9</v>
      </c>
      <c r="R2697"/>
      <c r="S2697"/>
      <c r="T2697"/>
      <c r="U2697"/>
      <c r="V2697"/>
      <c r="W2697">
        <v>18</v>
      </c>
    </row>
    <row r="2698" spans="1:23">
      <c r="A2698"/>
      <c r="B2698" t="s">
        <v>74</v>
      </c>
      <c r="C2698" t="s">
        <v>74</v>
      </c>
      <c r="D2698" t="s">
        <v>33</v>
      </c>
      <c r="E2698" t="s">
        <v>34</v>
      </c>
      <c r="F2698" t="str">
        <f>"0003002"</f>
        <v>0003002</v>
      </c>
      <c r="G2698">
        <v>1</v>
      </c>
      <c r="H2698" t="str">
        <f>"00000000"</f>
        <v>00000000</v>
      </c>
      <c r="I2698" t="s">
        <v>35</v>
      </c>
      <c r="J2698"/>
      <c r="K2698">
        <v>1.27</v>
      </c>
      <c r="L2698">
        <v>0.0</v>
      </c>
      <c r="M2698"/>
      <c r="N2698"/>
      <c r="O2698">
        <v>0.23</v>
      </c>
      <c r="P2698">
        <v>0.0</v>
      </c>
      <c r="Q2698">
        <v>1.5</v>
      </c>
      <c r="R2698"/>
      <c r="S2698"/>
      <c r="T2698"/>
      <c r="U2698"/>
      <c r="V2698"/>
      <c r="W2698">
        <v>18</v>
      </c>
    </row>
    <row r="2699" spans="1:23">
      <c r="A2699"/>
      <c r="B2699" t="s">
        <v>74</v>
      </c>
      <c r="C2699" t="s">
        <v>74</v>
      </c>
      <c r="D2699" t="s">
        <v>33</v>
      </c>
      <c r="E2699" t="s">
        <v>34</v>
      </c>
      <c r="F2699" t="str">
        <f>"0003003"</f>
        <v>0003003</v>
      </c>
      <c r="G2699">
        <v>1</v>
      </c>
      <c r="H2699" t="str">
        <f>"00000000"</f>
        <v>00000000</v>
      </c>
      <c r="I2699" t="s">
        <v>35</v>
      </c>
      <c r="J2699"/>
      <c r="K2699">
        <v>1.27</v>
      </c>
      <c r="L2699">
        <v>0.0</v>
      </c>
      <c r="M2699"/>
      <c r="N2699"/>
      <c r="O2699">
        <v>0.23</v>
      </c>
      <c r="P2699">
        <v>0.0</v>
      </c>
      <c r="Q2699">
        <v>1.5</v>
      </c>
      <c r="R2699"/>
      <c r="S2699"/>
      <c r="T2699"/>
      <c r="U2699"/>
      <c r="V2699"/>
      <c r="W2699">
        <v>18</v>
      </c>
    </row>
    <row r="2700" spans="1:23">
      <c r="A2700"/>
      <c r="B2700" t="s">
        <v>74</v>
      </c>
      <c r="C2700" t="s">
        <v>74</v>
      </c>
      <c r="D2700" t="s">
        <v>33</v>
      </c>
      <c r="E2700" t="s">
        <v>34</v>
      </c>
      <c r="F2700" t="str">
        <f>"0003004"</f>
        <v>0003004</v>
      </c>
      <c r="G2700">
        <v>1</v>
      </c>
      <c r="H2700" t="str">
        <f>"00000000"</f>
        <v>00000000</v>
      </c>
      <c r="I2700" t="s">
        <v>35</v>
      </c>
      <c r="J2700"/>
      <c r="K2700">
        <v>20.49</v>
      </c>
      <c r="L2700">
        <v>0.0</v>
      </c>
      <c r="M2700"/>
      <c r="N2700"/>
      <c r="O2700">
        <v>3.69</v>
      </c>
      <c r="P2700">
        <v>0.2</v>
      </c>
      <c r="Q2700">
        <v>24.38</v>
      </c>
      <c r="R2700"/>
      <c r="S2700"/>
      <c r="T2700"/>
      <c r="U2700"/>
      <c r="V2700"/>
      <c r="W2700">
        <v>18</v>
      </c>
    </row>
    <row r="2701" spans="1:23">
      <c r="A2701"/>
      <c r="B2701" t="s">
        <v>74</v>
      </c>
      <c r="C2701" t="s">
        <v>74</v>
      </c>
      <c r="D2701" t="s">
        <v>33</v>
      </c>
      <c r="E2701" t="s">
        <v>34</v>
      </c>
      <c r="F2701" t="str">
        <f>"0003005"</f>
        <v>0003005</v>
      </c>
      <c r="G2701">
        <v>1</v>
      </c>
      <c r="H2701" t="str">
        <f>"00000000"</f>
        <v>00000000</v>
      </c>
      <c r="I2701" t="s">
        <v>35</v>
      </c>
      <c r="J2701"/>
      <c r="K2701">
        <v>17.87</v>
      </c>
      <c r="L2701">
        <v>0.0</v>
      </c>
      <c r="M2701"/>
      <c r="N2701"/>
      <c r="O2701">
        <v>3.22</v>
      </c>
      <c r="P2701">
        <v>0.2</v>
      </c>
      <c r="Q2701">
        <v>21.29</v>
      </c>
      <c r="R2701"/>
      <c r="S2701"/>
      <c r="T2701"/>
      <c r="U2701"/>
      <c r="V2701"/>
      <c r="W2701">
        <v>18</v>
      </c>
    </row>
    <row r="2702" spans="1:23">
      <c r="A2702"/>
      <c r="B2702" t="s">
        <v>74</v>
      </c>
      <c r="C2702" t="s">
        <v>74</v>
      </c>
      <c r="D2702" t="s">
        <v>33</v>
      </c>
      <c r="E2702" t="s">
        <v>34</v>
      </c>
      <c r="F2702" t="str">
        <f>"0003006"</f>
        <v>0003006</v>
      </c>
      <c r="G2702">
        <v>1</v>
      </c>
      <c r="H2702" t="str">
        <f>"00000000"</f>
        <v>00000000</v>
      </c>
      <c r="I2702" t="s">
        <v>35</v>
      </c>
      <c r="J2702"/>
      <c r="K2702">
        <v>29.35</v>
      </c>
      <c r="L2702">
        <v>0.0</v>
      </c>
      <c r="M2702"/>
      <c r="N2702"/>
      <c r="O2702">
        <v>5.28</v>
      </c>
      <c r="P2702">
        <v>0.0</v>
      </c>
      <c r="Q2702">
        <v>34.64</v>
      </c>
      <c r="R2702"/>
      <c r="S2702"/>
      <c r="T2702"/>
      <c r="U2702"/>
      <c r="V2702"/>
      <c r="W2702">
        <v>18</v>
      </c>
    </row>
    <row r="2703" spans="1:23">
      <c r="A2703"/>
      <c r="B2703" t="s">
        <v>74</v>
      </c>
      <c r="C2703" t="s">
        <v>74</v>
      </c>
      <c r="D2703" t="s">
        <v>33</v>
      </c>
      <c r="E2703" t="s">
        <v>34</v>
      </c>
      <c r="F2703" t="str">
        <f>"0003007"</f>
        <v>0003007</v>
      </c>
      <c r="G2703">
        <v>1</v>
      </c>
      <c r="H2703" t="str">
        <f>"00000000"</f>
        <v>00000000</v>
      </c>
      <c r="I2703" t="s">
        <v>35</v>
      </c>
      <c r="J2703"/>
      <c r="K2703">
        <v>42.56</v>
      </c>
      <c r="L2703">
        <v>0.0</v>
      </c>
      <c r="M2703"/>
      <c r="N2703"/>
      <c r="O2703">
        <v>7.66</v>
      </c>
      <c r="P2703">
        <v>0.4</v>
      </c>
      <c r="Q2703">
        <v>50.62</v>
      </c>
      <c r="R2703"/>
      <c r="S2703"/>
      <c r="T2703"/>
      <c r="U2703"/>
      <c r="V2703"/>
      <c r="W2703">
        <v>18</v>
      </c>
    </row>
    <row r="2704" spans="1:23">
      <c r="A2704"/>
      <c r="B2704" t="s">
        <v>74</v>
      </c>
      <c r="C2704" t="s">
        <v>74</v>
      </c>
      <c r="D2704" t="s">
        <v>33</v>
      </c>
      <c r="E2704" t="s">
        <v>34</v>
      </c>
      <c r="F2704" t="str">
        <f>"0003008"</f>
        <v>0003008</v>
      </c>
      <c r="G2704">
        <v>1</v>
      </c>
      <c r="H2704" t="str">
        <f>"00000000"</f>
        <v>00000000</v>
      </c>
      <c r="I2704" t="s">
        <v>35</v>
      </c>
      <c r="J2704"/>
      <c r="K2704">
        <v>9.11</v>
      </c>
      <c r="L2704">
        <v>0.0</v>
      </c>
      <c r="M2704"/>
      <c r="N2704"/>
      <c r="O2704">
        <v>1.64</v>
      </c>
      <c r="P2704">
        <v>0.0</v>
      </c>
      <c r="Q2704">
        <v>10.75</v>
      </c>
      <c r="R2704"/>
      <c r="S2704"/>
      <c r="T2704"/>
      <c r="U2704"/>
      <c r="V2704"/>
      <c r="W2704">
        <v>18</v>
      </c>
    </row>
    <row r="2705" spans="1:23">
      <c r="A2705"/>
      <c r="B2705" t="s">
        <v>74</v>
      </c>
      <c r="C2705" t="s">
        <v>74</v>
      </c>
      <c r="D2705" t="s">
        <v>33</v>
      </c>
      <c r="E2705" t="s">
        <v>34</v>
      </c>
      <c r="F2705" t="str">
        <f>"0003009"</f>
        <v>0003009</v>
      </c>
      <c r="G2705">
        <v>1</v>
      </c>
      <c r="H2705" t="str">
        <f>"00000000"</f>
        <v>00000000</v>
      </c>
      <c r="I2705" t="s">
        <v>35</v>
      </c>
      <c r="J2705"/>
      <c r="K2705">
        <v>5.59</v>
      </c>
      <c r="L2705">
        <v>0.0</v>
      </c>
      <c r="M2705"/>
      <c r="N2705"/>
      <c r="O2705">
        <v>1.01</v>
      </c>
      <c r="P2705">
        <v>0.0</v>
      </c>
      <c r="Q2705">
        <v>6.6</v>
      </c>
      <c r="R2705"/>
      <c r="S2705"/>
      <c r="T2705"/>
      <c r="U2705"/>
      <c r="V2705"/>
      <c r="W2705">
        <v>18</v>
      </c>
    </row>
    <row r="2706" spans="1:23">
      <c r="A2706"/>
      <c r="B2706" t="s">
        <v>74</v>
      </c>
      <c r="C2706" t="s">
        <v>74</v>
      </c>
      <c r="D2706" t="s">
        <v>36</v>
      </c>
      <c r="E2706" t="s">
        <v>37</v>
      </c>
      <c r="F2706" t="str">
        <f>"0000041"</f>
        <v>0000041</v>
      </c>
      <c r="G2706">
        <v>6</v>
      </c>
      <c r="H2706" t="str">
        <f>"10164843179"</f>
        <v>10164843179</v>
      </c>
      <c r="I2706" t="s">
        <v>76</v>
      </c>
      <c r="J2706"/>
      <c r="K2706">
        <v>1.74</v>
      </c>
      <c r="L2706">
        <v>0.0</v>
      </c>
      <c r="M2706"/>
      <c r="N2706"/>
      <c r="O2706">
        <v>0.31</v>
      </c>
      <c r="P2706">
        <v>0.0</v>
      </c>
      <c r="Q2706">
        <v>2.05</v>
      </c>
      <c r="R2706"/>
      <c r="S2706"/>
      <c r="T2706"/>
      <c r="U2706"/>
      <c r="V2706"/>
      <c r="W2706">
        <v>18</v>
      </c>
    </row>
    <row r="2707" spans="1:23">
      <c r="A2707"/>
      <c r="B2707" t="s">
        <v>74</v>
      </c>
      <c r="C2707" t="s">
        <v>74</v>
      </c>
      <c r="D2707" t="s">
        <v>33</v>
      </c>
      <c r="E2707" t="s">
        <v>34</v>
      </c>
      <c r="F2707" t="str">
        <f>"0003010"</f>
        <v>0003010</v>
      </c>
      <c r="G2707">
        <v>1</v>
      </c>
      <c r="H2707" t="str">
        <f>"00000000"</f>
        <v>00000000</v>
      </c>
      <c r="I2707" t="s">
        <v>35</v>
      </c>
      <c r="J2707"/>
      <c r="K2707">
        <v>3.81</v>
      </c>
      <c r="L2707">
        <v>0.0</v>
      </c>
      <c r="M2707"/>
      <c r="N2707"/>
      <c r="O2707">
        <v>0.69</v>
      </c>
      <c r="P2707">
        <v>0.0</v>
      </c>
      <c r="Q2707">
        <v>4.5</v>
      </c>
      <c r="R2707"/>
      <c r="S2707"/>
      <c r="T2707"/>
      <c r="U2707"/>
      <c r="V2707"/>
      <c r="W2707">
        <v>18</v>
      </c>
    </row>
    <row r="2708" spans="1:23">
      <c r="A2708"/>
      <c r="B2708" t="s">
        <v>74</v>
      </c>
      <c r="C2708" t="s">
        <v>74</v>
      </c>
      <c r="D2708" t="s">
        <v>33</v>
      </c>
      <c r="E2708" t="s">
        <v>34</v>
      </c>
      <c r="F2708" t="str">
        <f>"0003011"</f>
        <v>0003011</v>
      </c>
      <c r="G2708">
        <v>1</v>
      </c>
      <c r="H2708" t="str">
        <f>"00000000"</f>
        <v>00000000</v>
      </c>
      <c r="I2708" t="s">
        <v>35</v>
      </c>
      <c r="J2708"/>
      <c r="K2708">
        <v>12.54</v>
      </c>
      <c r="L2708">
        <v>0.0</v>
      </c>
      <c r="M2708"/>
      <c r="N2708"/>
      <c r="O2708">
        <v>2.26</v>
      </c>
      <c r="P2708">
        <v>0.0</v>
      </c>
      <c r="Q2708">
        <v>14.8</v>
      </c>
      <c r="R2708"/>
      <c r="S2708"/>
      <c r="T2708"/>
      <c r="U2708"/>
      <c r="V2708"/>
      <c r="W2708">
        <v>18</v>
      </c>
    </row>
    <row r="2709" spans="1:23">
      <c r="A2709"/>
      <c r="B2709" t="s">
        <v>74</v>
      </c>
      <c r="C2709" t="s">
        <v>74</v>
      </c>
      <c r="D2709" t="s">
        <v>33</v>
      </c>
      <c r="E2709" t="s">
        <v>34</v>
      </c>
      <c r="F2709" t="str">
        <f>"0003012"</f>
        <v>0003012</v>
      </c>
      <c r="G2709">
        <v>1</v>
      </c>
      <c r="H2709" t="str">
        <f>"00000000"</f>
        <v>00000000</v>
      </c>
      <c r="I2709" t="s">
        <v>35</v>
      </c>
      <c r="J2709"/>
      <c r="K2709">
        <v>11.29</v>
      </c>
      <c r="L2709">
        <v>0.0</v>
      </c>
      <c r="M2709"/>
      <c r="N2709"/>
      <c r="O2709">
        <v>2.03</v>
      </c>
      <c r="P2709">
        <v>0.2</v>
      </c>
      <c r="Q2709">
        <v>13.52</v>
      </c>
      <c r="R2709"/>
      <c r="S2709"/>
      <c r="T2709"/>
      <c r="U2709"/>
      <c r="V2709"/>
      <c r="W2709">
        <v>18</v>
      </c>
    </row>
    <row r="2710" spans="1:23">
      <c r="A2710"/>
      <c r="B2710" t="s">
        <v>74</v>
      </c>
      <c r="C2710" t="s">
        <v>74</v>
      </c>
      <c r="D2710" t="s">
        <v>33</v>
      </c>
      <c r="E2710" t="s">
        <v>34</v>
      </c>
      <c r="F2710" t="str">
        <f>"0003013"</f>
        <v>0003013</v>
      </c>
      <c r="G2710">
        <v>1</v>
      </c>
      <c r="H2710" t="str">
        <f>"00000000"</f>
        <v>00000000</v>
      </c>
      <c r="I2710" t="s">
        <v>35</v>
      </c>
      <c r="J2710"/>
      <c r="K2710">
        <v>1.43</v>
      </c>
      <c r="L2710">
        <v>0.0</v>
      </c>
      <c r="M2710"/>
      <c r="N2710"/>
      <c r="O2710">
        <v>0.26</v>
      </c>
      <c r="P2710">
        <v>0.0</v>
      </c>
      <c r="Q2710">
        <v>1.69</v>
      </c>
      <c r="R2710"/>
      <c r="S2710"/>
      <c r="T2710"/>
      <c r="U2710"/>
      <c r="V2710"/>
      <c r="W2710">
        <v>18</v>
      </c>
    </row>
    <row r="2711" spans="1:23">
      <c r="A2711"/>
      <c r="B2711" t="s">
        <v>74</v>
      </c>
      <c r="C2711" t="s">
        <v>74</v>
      </c>
      <c r="D2711" t="s">
        <v>33</v>
      </c>
      <c r="E2711" t="s">
        <v>34</v>
      </c>
      <c r="F2711" t="str">
        <f>"0003014"</f>
        <v>0003014</v>
      </c>
      <c r="G2711">
        <v>1</v>
      </c>
      <c r="H2711" t="str">
        <f>"00000000"</f>
        <v>00000000</v>
      </c>
      <c r="I2711" t="s">
        <v>35</v>
      </c>
      <c r="J2711"/>
      <c r="K2711">
        <v>5.25</v>
      </c>
      <c r="L2711">
        <v>0.0</v>
      </c>
      <c r="M2711"/>
      <c r="N2711"/>
      <c r="O2711">
        <v>0.95</v>
      </c>
      <c r="P2711">
        <v>0.0</v>
      </c>
      <c r="Q2711">
        <v>6.2</v>
      </c>
      <c r="R2711"/>
      <c r="S2711"/>
      <c r="T2711"/>
      <c r="U2711"/>
      <c r="V2711"/>
      <c r="W2711">
        <v>18</v>
      </c>
    </row>
    <row r="2712" spans="1:23">
      <c r="A2712"/>
      <c r="B2712" t="s">
        <v>74</v>
      </c>
      <c r="C2712" t="s">
        <v>74</v>
      </c>
      <c r="D2712" t="s">
        <v>33</v>
      </c>
      <c r="E2712" t="s">
        <v>34</v>
      </c>
      <c r="F2712" t="str">
        <f>"0003015"</f>
        <v>0003015</v>
      </c>
      <c r="G2712">
        <v>1</v>
      </c>
      <c r="H2712" t="str">
        <f>"00000000"</f>
        <v>00000000</v>
      </c>
      <c r="I2712" t="s">
        <v>35</v>
      </c>
      <c r="J2712"/>
      <c r="K2712">
        <v>4.66</v>
      </c>
      <c r="L2712">
        <v>0.0</v>
      </c>
      <c r="M2712"/>
      <c r="N2712"/>
      <c r="O2712">
        <v>0.84</v>
      </c>
      <c r="P2712">
        <v>0.0</v>
      </c>
      <c r="Q2712">
        <v>5.5</v>
      </c>
      <c r="R2712"/>
      <c r="S2712"/>
      <c r="T2712"/>
      <c r="U2712"/>
      <c r="V2712"/>
      <c r="W2712">
        <v>18</v>
      </c>
    </row>
    <row r="2713" spans="1:23">
      <c r="A2713"/>
      <c r="B2713" t="s">
        <v>74</v>
      </c>
      <c r="C2713" t="s">
        <v>74</v>
      </c>
      <c r="D2713" t="s">
        <v>33</v>
      </c>
      <c r="E2713" t="s">
        <v>34</v>
      </c>
      <c r="F2713" t="str">
        <f>"0003016"</f>
        <v>0003016</v>
      </c>
      <c r="G2713">
        <v>1</v>
      </c>
      <c r="H2713" t="str">
        <f>"00000000"</f>
        <v>00000000</v>
      </c>
      <c r="I2713" t="s">
        <v>35</v>
      </c>
      <c r="J2713"/>
      <c r="K2713">
        <v>10.68</v>
      </c>
      <c r="L2713">
        <v>0.0</v>
      </c>
      <c r="M2713"/>
      <c r="N2713"/>
      <c r="O2713">
        <v>1.92</v>
      </c>
      <c r="P2713">
        <v>0.0</v>
      </c>
      <c r="Q2713">
        <v>12.6</v>
      </c>
      <c r="R2713"/>
      <c r="S2713"/>
      <c r="T2713"/>
      <c r="U2713"/>
      <c r="V2713"/>
      <c r="W2713">
        <v>18</v>
      </c>
    </row>
    <row r="2714" spans="1:23">
      <c r="A2714"/>
      <c r="B2714" t="s">
        <v>74</v>
      </c>
      <c r="C2714" t="s">
        <v>74</v>
      </c>
      <c r="D2714" t="s">
        <v>33</v>
      </c>
      <c r="E2714" t="s">
        <v>34</v>
      </c>
      <c r="F2714" t="str">
        <f>"0003017"</f>
        <v>0003017</v>
      </c>
      <c r="G2714">
        <v>1</v>
      </c>
      <c r="H2714" t="str">
        <f>"00000000"</f>
        <v>00000000</v>
      </c>
      <c r="I2714" t="s">
        <v>35</v>
      </c>
      <c r="J2714"/>
      <c r="K2714">
        <v>4.58</v>
      </c>
      <c r="L2714">
        <v>0.0</v>
      </c>
      <c r="M2714"/>
      <c r="N2714"/>
      <c r="O2714">
        <v>0.82</v>
      </c>
      <c r="P2714">
        <v>0.0</v>
      </c>
      <c r="Q2714">
        <v>5.4</v>
      </c>
      <c r="R2714"/>
      <c r="S2714"/>
      <c r="T2714"/>
      <c r="U2714"/>
      <c r="V2714"/>
      <c r="W2714">
        <v>18</v>
      </c>
    </row>
    <row r="2715" spans="1:23">
      <c r="A2715"/>
      <c r="B2715" t="s">
        <v>74</v>
      </c>
      <c r="C2715" t="s">
        <v>74</v>
      </c>
      <c r="D2715" t="s">
        <v>33</v>
      </c>
      <c r="E2715" t="s">
        <v>34</v>
      </c>
      <c r="F2715" t="str">
        <f>"0003018"</f>
        <v>0003018</v>
      </c>
      <c r="G2715">
        <v>1</v>
      </c>
      <c r="H2715" t="str">
        <f>"00000000"</f>
        <v>00000000</v>
      </c>
      <c r="I2715" t="s">
        <v>35</v>
      </c>
      <c r="J2715"/>
      <c r="K2715">
        <v>2.29</v>
      </c>
      <c r="L2715">
        <v>0.0</v>
      </c>
      <c r="M2715"/>
      <c r="N2715"/>
      <c r="O2715">
        <v>0.41</v>
      </c>
      <c r="P2715">
        <v>0.0</v>
      </c>
      <c r="Q2715">
        <v>2.7</v>
      </c>
      <c r="R2715"/>
      <c r="S2715"/>
      <c r="T2715"/>
      <c r="U2715"/>
      <c r="V2715"/>
      <c r="W2715">
        <v>18</v>
      </c>
    </row>
    <row r="2716" spans="1:23">
      <c r="A2716"/>
      <c r="B2716" t="s">
        <v>74</v>
      </c>
      <c r="C2716" t="s">
        <v>74</v>
      </c>
      <c r="D2716" t="s">
        <v>33</v>
      </c>
      <c r="E2716" t="s">
        <v>34</v>
      </c>
      <c r="F2716" t="str">
        <f>"0003019"</f>
        <v>0003019</v>
      </c>
      <c r="G2716">
        <v>1</v>
      </c>
      <c r="H2716" t="str">
        <f>"00000000"</f>
        <v>00000000</v>
      </c>
      <c r="I2716" t="s">
        <v>35</v>
      </c>
      <c r="J2716"/>
      <c r="K2716">
        <v>13.14</v>
      </c>
      <c r="L2716">
        <v>0.0</v>
      </c>
      <c r="M2716"/>
      <c r="N2716"/>
      <c r="O2716">
        <v>2.36</v>
      </c>
      <c r="P2716">
        <v>0.0</v>
      </c>
      <c r="Q2716">
        <v>15.5</v>
      </c>
      <c r="R2716"/>
      <c r="S2716"/>
      <c r="T2716"/>
      <c r="U2716"/>
      <c r="V2716"/>
      <c r="W2716">
        <v>18</v>
      </c>
    </row>
    <row r="2717" spans="1:23">
      <c r="A2717"/>
      <c r="B2717" t="s">
        <v>74</v>
      </c>
      <c r="C2717" t="s">
        <v>74</v>
      </c>
      <c r="D2717" t="s">
        <v>33</v>
      </c>
      <c r="E2717" t="s">
        <v>34</v>
      </c>
      <c r="F2717" t="str">
        <f>"0003020"</f>
        <v>0003020</v>
      </c>
      <c r="G2717">
        <v>1</v>
      </c>
      <c r="H2717" t="str">
        <f>"00000000"</f>
        <v>00000000</v>
      </c>
      <c r="I2717" t="s">
        <v>35</v>
      </c>
      <c r="J2717"/>
      <c r="K2717">
        <v>10.52</v>
      </c>
      <c r="L2717">
        <v>0.0</v>
      </c>
      <c r="M2717"/>
      <c r="N2717"/>
      <c r="O2717">
        <v>1.89</v>
      </c>
      <c r="P2717">
        <v>0.2</v>
      </c>
      <c r="Q2717">
        <v>12.61</v>
      </c>
      <c r="R2717"/>
      <c r="S2717"/>
      <c r="T2717"/>
      <c r="U2717"/>
      <c r="V2717"/>
      <c r="W2717">
        <v>18</v>
      </c>
    </row>
    <row r="2718" spans="1:23">
      <c r="A2718"/>
      <c r="B2718" t="s">
        <v>74</v>
      </c>
      <c r="C2718" t="s">
        <v>74</v>
      </c>
      <c r="D2718" t="s">
        <v>33</v>
      </c>
      <c r="E2718" t="s">
        <v>34</v>
      </c>
      <c r="F2718" t="str">
        <f>"0003021"</f>
        <v>0003021</v>
      </c>
      <c r="G2718">
        <v>1</v>
      </c>
      <c r="H2718" t="str">
        <f>"00000000"</f>
        <v>00000000</v>
      </c>
      <c r="I2718" t="s">
        <v>35</v>
      </c>
      <c r="J2718"/>
      <c r="K2718">
        <v>3.81</v>
      </c>
      <c r="L2718">
        <v>0.0</v>
      </c>
      <c r="M2718"/>
      <c r="N2718"/>
      <c r="O2718">
        <v>0.69</v>
      </c>
      <c r="P2718">
        <v>0.0</v>
      </c>
      <c r="Q2718">
        <v>4.5</v>
      </c>
      <c r="R2718"/>
      <c r="S2718"/>
      <c r="T2718"/>
      <c r="U2718"/>
      <c r="V2718"/>
      <c r="W2718">
        <v>18</v>
      </c>
    </row>
    <row r="2719" spans="1:23">
      <c r="A2719"/>
      <c r="B2719" t="s">
        <v>74</v>
      </c>
      <c r="C2719" t="s">
        <v>74</v>
      </c>
      <c r="D2719" t="s">
        <v>33</v>
      </c>
      <c r="E2719" t="s">
        <v>34</v>
      </c>
      <c r="F2719" t="str">
        <f>"0003022"</f>
        <v>0003022</v>
      </c>
      <c r="G2719">
        <v>1</v>
      </c>
      <c r="H2719" t="str">
        <f>"00000000"</f>
        <v>00000000</v>
      </c>
      <c r="I2719" t="s">
        <v>35</v>
      </c>
      <c r="J2719"/>
      <c r="K2719">
        <v>15.14</v>
      </c>
      <c r="L2719">
        <v>0.0</v>
      </c>
      <c r="M2719"/>
      <c r="N2719"/>
      <c r="O2719">
        <v>2.72</v>
      </c>
      <c r="P2719">
        <v>0.0</v>
      </c>
      <c r="Q2719">
        <v>17.86</v>
      </c>
      <c r="R2719"/>
      <c r="S2719"/>
      <c r="T2719"/>
      <c r="U2719"/>
      <c r="V2719"/>
      <c r="W2719">
        <v>18</v>
      </c>
    </row>
    <row r="2720" spans="1:23">
      <c r="A2720"/>
      <c r="B2720" t="s">
        <v>74</v>
      </c>
      <c r="C2720" t="s">
        <v>74</v>
      </c>
      <c r="D2720" t="s">
        <v>33</v>
      </c>
      <c r="E2720" t="s">
        <v>34</v>
      </c>
      <c r="F2720" t="str">
        <f>"0003023"</f>
        <v>0003023</v>
      </c>
      <c r="G2720">
        <v>1</v>
      </c>
      <c r="H2720" t="str">
        <f>"00000000"</f>
        <v>00000000</v>
      </c>
      <c r="I2720" t="s">
        <v>35</v>
      </c>
      <c r="J2720"/>
      <c r="K2720">
        <v>20.56</v>
      </c>
      <c r="L2720">
        <v>0.0</v>
      </c>
      <c r="M2720"/>
      <c r="N2720"/>
      <c r="O2720">
        <v>3.7</v>
      </c>
      <c r="P2720">
        <v>0.2</v>
      </c>
      <c r="Q2720">
        <v>24.46</v>
      </c>
      <c r="R2720"/>
      <c r="S2720"/>
      <c r="T2720"/>
      <c r="U2720"/>
      <c r="V2720"/>
      <c r="W2720">
        <v>18</v>
      </c>
    </row>
    <row r="2721" spans="1:23">
      <c r="A2721"/>
      <c r="B2721" t="s">
        <v>74</v>
      </c>
      <c r="C2721" t="s">
        <v>74</v>
      </c>
      <c r="D2721" t="s">
        <v>33</v>
      </c>
      <c r="E2721" t="s">
        <v>34</v>
      </c>
      <c r="F2721" t="str">
        <f>"0003024"</f>
        <v>0003024</v>
      </c>
      <c r="G2721">
        <v>1</v>
      </c>
      <c r="H2721" t="str">
        <f>"00000000"</f>
        <v>00000000</v>
      </c>
      <c r="I2721" t="s">
        <v>35</v>
      </c>
      <c r="J2721"/>
      <c r="K2721">
        <v>1.86</v>
      </c>
      <c r="L2721">
        <v>0.0</v>
      </c>
      <c r="M2721"/>
      <c r="N2721"/>
      <c r="O2721">
        <v>0.34</v>
      </c>
      <c r="P2721">
        <v>0.0</v>
      </c>
      <c r="Q2721">
        <v>2.2</v>
      </c>
      <c r="R2721"/>
      <c r="S2721"/>
      <c r="T2721"/>
      <c r="U2721"/>
      <c r="V2721"/>
      <c r="W2721">
        <v>18</v>
      </c>
    </row>
    <row r="2722" spans="1:23">
      <c r="A2722"/>
      <c r="B2722" t="s">
        <v>74</v>
      </c>
      <c r="C2722" t="s">
        <v>74</v>
      </c>
      <c r="D2722" t="s">
        <v>33</v>
      </c>
      <c r="E2722" t="s">
        <v>34</v>
      </c>
      <c r="F2722" t="str">
        <f>"0003025"</f>
        <v>0003025</v>
      </c>
      <c r="G2722">
        <v>1</v>
      </c>
      <c r="H2722" t="str">
        <f>"00000000"</f>
        <v>00000000</v>
      </c>
      <c r="I2722" t="s">
        <v>35</v>
      </c>
      <c r="J2722"/>
      <c r="K2722">
        <v>31.1</v>
      </c>
      <c r="L2722">
        <v>0.0</v>
      </c>
      <c r="M2722"/>
      <c r="N2722"/>
      <c r="O2722">
        <v>5.6</v>
      </c>
      <c r="P2722">
        <v>0.0</v>
      </c>
      <c r="Q2722">
        <v>36.7</v>
      </c>
      <c r="R2722"/>
      <c r="S2722"/>
      <c r="T2722"/>
      <c r="U2722"/>
      <c r="V2722"/>
      <c r="W2722">
        <v>18</v>
      </c>
    </row>
    <row r="2723" spans="1:23">
      <c r="A2723"/>
      <c r="B2723" t="s">
        <v>74</v>
      </c>
      <c r="C2723" t="s">
        <v>74</v>
      </c>
      <c r="D2723" t="s">
        <v>33</v>
      </c>
      <c r="E2723" t="s">
        <v>34</v>
      </c>
      <c r="F2723" t="str">
        <f>"0003026"</f>
        <v>0003026</v>
      </c>
      <c r="G2723">
        <v>1</v>
      </c>
      <c r="H2723" t="str">
        <f>"00000000"</f>
        <v>00000000</v>
      </c>
      <c r="I2723" t="s">
        <v>35</v>
      </c>
      <c r="J2723"/>
      <c r="K2723">
        <v>11.34</v>
      </c>
      <c r="L2723">
        <v>0.0</v>
      </c>
      <c r="M2723"/>
      <c r="N2723"/>
      <c r="O2723">
        <v>2.04</v>
      </c>
      <c r="P2723">
        <v>0.2</v>
      </c>
      <c r="Q2723">
        <v>13.58</v>
      </c>
      <c r="R2723"/>
      <c r="S2723"/>
      <c r="T2723"/>
      <c r="U2723"/>
      <c r="V2723"/>
      <c r="W2723">
        <v>18</v>
      </c>
    </row>
    <row r="2724" spans="1:23">
      <c r="A2724"/>
      <c r="B2724" t="s">
        <v>74</v>
      </c>
      <c r="C2724" t="s">
        <v>74</v>
      </c>
      <c r="D2724" t="s">
        <v>33</v>
      </c>
      <c r="E2724" t="s">
        <v>34</v>
      </c>
      <c r="F2724" t="str">
        <f>"0003027"</f>
        <v>0003027</v>
      </c>
      <c r="G2724">
        <v>1</v>
      </c>
      <c r="H2724" t="str">
        <f>"00000000"</f>
        <v>00000000</v>
      </c>
      <c r="I2724" t="s">
        <v>35</v>
      </c>
      <c r="J2724"/>
      <c r="K2724">
        <v>0.02</v>
      </c>
      <c r="L2724">
        <v>0.0</v>
      </c>
      <c r="M2724"/>
      <c r="N2724"/>
      <c r="O2724">
        <v>0.0</v>
      </c>
      <c r="P2724">
        <v>0.2</v>
      </c>
      <c r="Q2724">
        <v>0.22</v>
      </c>
      <c r="R2724"/>
      <c r="S2724"/>
      <c r="T2724"/>
      <c r="U2724"/>
      <c r="V2724"/>
      <c r="W2724">
        <v>18</v>
      </c>
    </row>
    <row r="2725" spans="1:23">
      <c r="A2725"/>
      <c r="B2725" t="s">
        <v>74</v>
      </c>
      <c r="C2725" t="s">
        <v>74</v>
      </c>
      <c r="D2725" t="s">
        <v>33</v>
      </c>
      <c r="E2725" t="s">
        <v>34</v>
      </c>
      <c r="F2725" t="str">
        <f>"0003028"</f>
        <v>0003028</v>
      </c>
      <c r="G2725">
        <v>1</v>
      </c>
      <c r="H2725" t="str">
        <f>"00000000"</f>
        <v>00000000</v>
      </c>
      <c r="I2725" t="s">
        <v>35</v>
      </c>
      <c r="J2725"/>
      <c r="K2725">
        <v>9.75</v>
      </c>
      <c r="L2725">
        <v>0.0</v>
      </c>
      <c r="M2725"/>
      <c r="N2725"/>
      <c r="O2725">
        <v>1.75</v>
      </c>
      <c r="P2725">
        <v>0.0</v>
      </c>
      <c r="Q2725">
        <v>11.5</v>
      </c>
      <c r="R2725"/>
      <c r="S2725"/>
      <c r="T2725"/>
      <c r="U2725"/>
      <c r="V2725"/>
      <c r="W2725">
        <v>18</v>
      </c>
    </row>
    <row r="2726" spans="1:23">
      <c r="A2726"/>
      <c r="B2726" t="s">
        <v>74</v>
      </c>
      <c r="C2726" t="s">
        <v>74</v>
      </c>
      <c r="D2726" t="s">
        <v>33</v>
      </c>
      <c r="E2726" t="s">
        <v>34</v>
      </c>
      <c r="F2726" t="str">
        <f>"0003029"</f>
        <v>0003029</v>
      </c>
      <c r="G2726">
        <v>1</v>
      </c>
      <c r="H2726" t="str">
        <f>"00000000"</f>
        <v>00000000</v>
      </c>
      <c r="I2726" t="s">
        <v>35</v>
      </c>
      <c r="J2726"/>
      <c r="K2726">
        <v>4.15</v>
      </c>
      <c r="L2726">
        <v>0.0</v>
      </c>
      <c r="M2726"/>
      <c r="N2726"/>
      <c r="O2726">
        <v>0.75</v>
      </c>
      <c r="P2726">
        <v>0.0</v>
      </c>
      <c r="Q2726">
        <v>4.9</v>
      </c>
      <c r="R2726"/>
      <c r="S2726"/>
      <c r="T2726"/>
      <c r="U2726"/>
      <c r="V2726"/>
      <c r="W2726">
        <v>18</v>
      </c>
    </row>
    <row r="2727" spans="1:23">
      <c r="A2727"/>
      <c r="B2727" t="s">
        <v>74</v>
      </c>
      <c r="C2727" t="s">
        <v>74</v>
      </c>
      <c r="D2727" t="s">
        <v>33</v>
      </c>
      <c r="E2727" t="s">
        <v>34</v>
      </c>
      <c r="F2727" t="str">
        <f>"0003030"</f>
        <v>0003030</v>
      </c>
      <c r="G2727">
        <v>1</v>
      </c>
      <c r="H2727" t="str">
        <f>"00000000"</f>
        <v>00000000</v>
      </c>
      <c r="I2727" t="s">
        <v>35</v>
      </c>
      <c r="J2727"/>
      <c r="K2727">
        <v>7.56</v>
      </c>
      <c r="L2727">
        <v>0.0</v>
      </c>
      <c r="M2727"/>
      <c r="N2727"/>
      <c r="O2727">
        <v>1.36</v>
      </c>
      <c r="P2727">
        <v>0.2</v>
      </c>
      <c r="Q2727">
        <v>9.12</v>
      </c>
      <c r="R2727"/>
      <c r="S2727"/>
      <c r="T2727"/>
      <c r="U2727"/>
      <c r="V2727"/>
      <c r="W2727">
        <v>18</v>
      </c>
    </row>
    <row r="2728" spans="1:23">
      <c r="A2728"/>
      <c r="B2728" t="s">
        <v>74</v>
      </c>
      <c r="C2728" t="s">
        <v>74</v>
      </c>
      <c r="D2728" t="s">
        <v>33</v>
      </c>
      <c r="E2728" t="s">
        <v>34</v>
      </c>
      <c r="F2728" t="str">
        <f>"0003031"</f>
        <v>0003031</v>
      </c>
      <c r="G2728">
        <v>1</v>
      </c>
      <c r="H2728" t="str">
        <f>"00000000"</f>
        <v>00000000</v>
      </c>
      <c r="I2728" t="s">
        <v>35</v>
      </c>
      <c r="J2728"/>
      <c r="K2728">
        <v>2.64</v>
      </c>
      <c r="L2728">
        <v>0.0</v>
      </c>
      <c r="M2728"/>
      <c r="N2728"/>
      <c r="O2728">
        <v>0.48</v>
      </c>
      <c r="P2728">
        <v>0.0</v>
      </c>
      <c r="Q2728">
        <v>3.12</v>
      </c>
      <c r="R2728"/>
      <c r="S2728"/>
      <c r="T2728"/>
      <c r="U2728"/>
      <c r="V2728"/>
      <c r="W2728">
        <v>18</v>
      </c>
    </row>
    <row r="2729" spans="1:23">
      <c r="A2729"/>
      <c r="B2729" t="s">
        <v>74</v>
      </c>
      <c r="C2729" t="s">
        <v>74</v>
      </c>
      <c r="D2729" t="s">
        <v>33</v>
      </c>
      <c r="E2729" t="s">
        <v>34</v>
      </c>
      <c r="F2729" t="str">
        <f>"0003032"</f>
        <v>0003032</v>
      </c>
      <c r="G2729">
        <v>1</v>
      </c>
      <c r="H2729" t="str">
        <f>"00000000"</f>
        <v>00000000</v>
      </c>
      <c r="I2729" t="s">
        <v>35</v>
      </c>
      <c r="J2729"/>
      <c r="K2729">
        <v>55.5</v>
      </c>
      <c r="L2729">
        <v>0.0</v>
      </c>
      <c r="M2729"/>
      <c r="N2729"/>
      <c r="O2729">
        <v>9.99</v>
      </c>
      <c r="P2729">
        <v>0.2</v>
      </c>
      <c r="Q2729">
        <v>65.69</v>
      </c>
      <c r="R2729"/>
      <c r="S2729"/>
      <c r="T2729"/>
      <c r="U2729"/>
      <c r="V2729"/>
      <c r="W2729">
        <v>18</v>
      </c>
    </row>
    <row r="2730" spans="1:23">
      <c r="A2730"/>
      <c r="B2730" t="s">
        <v>74</v>
      </c>
      <c r="C2730" t="s">
        <v>74</v>
      </c>
      <c r="D2730" t="s">
        <v>33</v>
      </c>
      <c r="E2730" t="s">
        <v>34</v>
      </c>
      <c r="F2730" t="str">
        <f>"0003033"</f>
        <v>0003033</v>
      </c>
      <c r="G2730">
        <v>1</v>
      </c>
      <c r="H2730" t="str">
        <f>"00000000"</f>
        <v>00000000</v>
      </c>
      <c r="I2730" t="s">
        <v>35</v>
      </c>
      <c r="J2730"/>
      <c r="K2730">
        <v>11.53</v>
      </c>
      <c r="L2730">
        <v>0.0</v>
      </c>
      <c r="M2730"/>
      <c r="N2730"/>
      <c r="O2730">
        <v>2.08</v>
      </c>
      <c r="P2730">
        <v>0.2</v>
      </c>
      <c r="Q2730">
        <v>13.81</v>
      </c>
      <c r="R2730"/>
      <c r="S2730"/>
      <c r="T2730"/>
      <c r="U2730"/>
      <c r="V2730"/>
      <c r="W2730">
        <v>18</v>
      </c>
    </row>
    <row r="2731" spans="1:23">
      <c r="A2731"/>
      <c r="B2731" t="s">
        <v>74</v>
      </c>
      <c r="C2731" t="s">
        <v>74</v>
      </c>
      <c r="D2731" t="s">
        <v>33</v>
      </c>
      <c r="E2731" t="s">
        <v>34</v>
      </c>
      <c r="F2731" t="str">
        <f>"0003034"</f>
        <v>0003034</v>
      </c>
      <c r="G2731">
        <v>1</v>
      </c>
      <c r="H2731" t="str">
        <f>"00000000"</f>
        <v>00000000</v>
      </c>
      <c r="I2731" t="s">
        <v>35</v>
      </c>
      <c r="J2731"/>
      <c r="K2731">
        <v>17.91</v>
      </c>
      <c r="L2731">
        <v>0.0</v>
      </c>
      <c r="M2731"/>
      <c r="N2731"/>
      <c r="O2731">
        <v>3.22</v>
      </c>
      <c r="P2731">
        <v>0.2</v>
      </c>
      <c r="Q2731">
        <v>21.33</v>
      </c>
      <c r="R2731"/>
      <c r="S2731"/>
      <c r="T2731"/>
      <c r="U2731"/>
      <c r="V2731"/>
      <c r="W2731">
        <v>18</v>
      </c>
    </row>
    <row r="2732" spans="1:23">
      <c r="A2732"/>
      <c r="B2732" t="s">
        <v>74</v>
      </c>
      <c r="C2732" t="s">
        <v>74</v>
      </c>
      <c r="D2732" t="s">
        <v>33</v>
      </c>
      <c r="E2732" t="s">
        <v>34</v>
      </c>
      <c r="F2732" t="str">
        <f>"0003035"</f>
        <v>0003035</v>
      </c>
      <c r="G2732">
        <v>1</v>
      </c>
      <c r="H2732" t="str">
        <f>"00000000"</f>
        <v>00000000</v>
      </c>
      <c r="I2732" t="s">
        <v>35</v>
      </c>
      <c r="J2732"/>
      <c r="K2732">
        <v>4.66</v>
      </c>
      <c r="L2732">
        <v>0.0</v>
      </c>
      <c r="M2732"/>
      <c r="N2732"/>
      <c r="O2732">
        <v>0.84</v>
      </c>
      <c r="P2732">
        <v>0.0</v>
      </c>
      <c r="Q2732">
        <v>5.5</v>
      </c>
      <c r="R2732"/>
      <c r="S2732"/>
      <c r="T2732"/>
      <c r="U2732"/>
      <c r="V2732"/>
      <c r="W2732">
        <v>18</v>
      </c>
    </row>
    <row r="2733" spans="1:23">
      <c r="A2733"/>
      <c r="B2733" t="s">
        <v>74</v>
      </c>
      <c r="C2733" t="s">
        <v>74</v>
      </c>
      <c r="D2733" t="s">
        <v>33</v>
      </c>
      <c r="E2733" t="s">
        <v>34</v>
      </c>
      <c r="F2733" t="str">
        <f>"0003036"</f>
        <v>0003036</v>
      </c>
      <c r="G2733">
        <v>1</v>
      </c>
      <c r="H2733" t="str">
        <f>"00000000"</f>
        <v>00000000</v>
      </c>
      <c r="I2733" t="s">
        <v>35</v>
      </c>
      <c r="J2733"/>
      <c r="K2733">
        <v>10.45</v>
      </c>
      <c r="L2733">
        <v>0.0</v>
      </c>
      <c r="M2733"/>
      <c r="N2733"/>
      <c r="O2733">
        <v>1.88</v>
      </c>
      <c r="P2733">
        <v>0.0</v>
      </c>
      <c r="Q2733">
        <v>12.33</v>
      </c>
      <c r="R2733"/>
      <c r="S2733"/>
      <c r="T2733"/>
      <c r="U2733"/>
      <c r="V2733"/>
      <c r="W2733">
        <v>18</v>
      </c>
    </row>
    <row r="2734" spans="1:23">
      <c r="A2734"/>
      <c r="B2734" t="s">
        <v>74</v>
      </c>
      <c r="C2734" t="s">
        <v>74</v>
      </c>
      <c r="D2734" t="s">
        <v>33</v>
      </c>
      <c r="E2734" t="s">
        <v>34</v>
      </c>
      <c r="F2734" t="str">
        <f>"0003037"</f>
        <v>0003037</v>
      </c>
      <c r="G2734">
        <v>1</v>
      </c>
      <c r="H2734" t="str">
        <f>"00000000"</f>
        <v>00000000</v>
      </c>
      <c r="I2734" t="s">
        <v>35</v>
      </c>
      <c r="J2734"/>
      <c r="K2734">
        <v>17.98</v>
      </c>
      <c r="L2734">
        <v>0.0</v>
      </c>
      <c r="M2734"/>
      <c r="N2734"/>
      <c r="O2734">
        <v>3.24</v>
      </c>
      <c r="P2734">
        <v>0.2</v>
      </c>
      <c r="Q2734">
        <v>21.42</v>
      </c>
      <c r="R2734"/>
      <c r="S2734"/>
      <c r="T2734"/>
      <c r="U2734"/>
      <c r="V2734"/>
      <c r="W2734">
        <v>18</v>
      </c>
    </row>
    <row r="2735" spans="1:23">
      <c r="A2735"/>
      <c r="B2735" t="s">
        <v>74</v>
      </c>
      <c r="C2735" t="s">
        <v>74</v>
      </c>
      <c r="D2735" t="s">
        <v>33</v>
      </c>
      <c r="E2735" t="s">
        <v>34</v>
      </c>
      <c r="F2735" t="str">
        <f>"0003038"</f>
        <v>0003038</v>
      </c>
      <c r="G2735">
        <v>1</v>
      </c>
      <c r="H2735" t="str">
        <f>"00000000"</f>
        <v>00000000</v>
      </c>
      <c r="I2735" t="s">
        <v>35</v>
      </c>
      <c r="J2735"/>
      <c r="K2735">
        <v>10.38</v>
      </c>
      <c r="L2735">
        <v>0.0</v>
      </c>
      <c r="M2735"/>
      <c r="N2735"/>
      <c r="O2735">
        <v>1.87</v>
      </c>
      <c r="P2735">
        <v>0.2</v>
      </c>
      <c r="Q2735">
        <v>12.45</v>
      </c>
      <c r="R2735"/>
      <c r="S2735"/>
      <c r="T2735"/>
      <c r="U2735"/>
      <c r="V2735"/>
      <c r="W2735">
        <v>18</v>
      </c>
    </row>
    <row r="2736" spans="1:23">
      <c r="A2736"/>
      <c r="B2736" t="s">
        <v>74</v>
      </c>
      <c r="C2736" t="s">
        <v>74</v>
      </c>
      <c r="D2736" t="s">
        <v>33</v>
      </c>
      <c r="E2736" t="s">
        <v>34</v>
      </c>
      <c r="F2736" t="str">
        <f>"0003039"</f>
        <v>0003039</v>
      </c>
      <c r="G2736">
        <v>1</v>
      </c>
      <c r="H2736" t="str">
        <f>"00000000"</f>
        <v>00000000</v>
      </c>
      <c r="I2736" t="s">
        <v>35</v>
      </c>
      <c r="J2736"/>
      <c r="K2736">
        <v>7.98</v>
      </c>
      <c r="L2736">
        <v>0.0</v>
      </c>
      <c r="M2736"/>
      <c r="N2736"/>
      <c r="O2736">
        <v>1.44</v>
      </c>
      <c r="P2736">
        <v>0.2</v>
      </c>
      <c r="Q2736">
        <v>9.62</v>
      </c>
      <c r="R2736"/>
      <c r="S2736"/>
      <c r="T2736"/>
      <c r="U2736"/>
      <c r="V2736"/>
      <c r="W2736">
        <v>18</v>
      </c>
    </row>
    <row r="2737" spans="1:23">
      <c r="A2737"/>
      <c r="B2737" t="s">
        <v>74</v>
      </c>
      <c r="C2737" t="s">
        <v>74</v>
      </c>
      <c r="D2737" t="s">
        <v>33</v>
      </c>
      <c r="E2737" t="s">
        <v>34</v>
      </c>
      <c r="F2737" t="str">
        <f>"0003040"</f>
        <v>0003040</v>
      </c>
      <c r="G2737">
        <v>1</v>
      </c>
      <c r="H2737" t="str">
        <f>"00000000"</f>
        <v>00000000</v>
      </c>
      <c r="I2737" t="s">
        <v>35</v>
      </c>
      <c r="J2737"/>
      <c r="K2737">
        <v>15.36</v>
      </c>
      <c r="L2737">
        <v>0.0</v>
      </c>
      <c r="M2737"/>
      <c r="N2737"/>
      <c r="O2737">
        <v>2.76</v>
      </c>
      <c r="P2737">
        <v>0.0</v>
      </c>
      <c r="Q2737">
        <v>18.12</v>
      </c>
      <c r="R2737"/>
      <c r="S2737"/>
      <c r="T2737"/>
      <c r="U2737"/>
      <c r="V2737"/>
      <c r="W2737">
        <v>18</v>
      </c>
    </row>
    <row r="2738" spans="1:23">
      <c r="A2738"/>
      <c r="B2738" t="s">
        <v>74</v>
      </c>
      <c r="C2738" t="s">
        <v>74</v>
      </c>
      <c r="D2738" t="s">
        <v>33</v>
      </c>
      <c r="E2738" t="s">
        <v>34</v>
      </c>
      <c r="F2738" t="str">
        <f>"0003041"</f>
        <v>0003041</v>
      </c>
      <c r="G2738">
        <v>1</v>
      </c>
      <c r="H2738" t="str">
        <f>"00000000"</f>
        <v>00000000</v>
      </c>
      <c r="I2738" t="s">
        <v>35</v>
      </c>
      <c r="J2738"/>
      <c r="K2738">
        <v>1.53</v>
      </c>
      <c r="L2738">
        <v>0.0</v>
      </c>
      <c r="M2738"/>
      <c r="N2738"/>
      <c r="O2738">
        <v>0.27</v>
      </c>
      <c r="P2738">
        <v>0.0</v>
      </c>
      <c r="Q2738">
        <v>1.8</v>
      </c>
      <c r="R2738"/>
      <c r="S2738"/>
      <c r="T2738"/>
      <c r="U2738"/>
      <c r="V2738"/>
      <c r="W2738">
        <v>18</v>
      </c>
    </row>
    <row r="2739" spans="1:23">
      <c r="A2739"/>
      <c r="B2739" t="s">
        <v>74</v>
      </c>
      <c r="C2739" t="s">
        <v>74</v>
      </c>
      <c r="D2739" t="s">
        <v>33</v>
      </c>
      <c r="E2739" t="s">
        <v>34</v>
      </c>
      <c r="F2739" t="str">
        <f>"0003042"</f>
        <v>0003042</v>
      </c>
      <c r="G2739">
        <v>1</v>
      </c>
      <c r="H2739" t="str">
        <f>"00000000"</f>
        <v>00000000</v>
      </c>
      <c r="I2739" t="s">
        <v>35</v>
      </c>
      <c r="J2739"/>
      <c r="K2739">
        <v>3.0</v>
      </c>
      <c r="L2739">
        <v>0.0</v>
      </c>
      <c r="M2739"/>
      <c r="N2739"/>
      <c r="O2739">
        <v>0.54</v>
      </c>
      <c r="P2739">
        <v>0.0</v>
      </c>
      <c r="Q2739">
        <v>3.53</v>
      </c>
      <c r="R2739"/>
      <c r="S2739"/>
      <c r="T2739"/>
      <c r="U2739"/>
      <c r="V2739"/>
      <c r="W2739">
        <v>18</v>
      </c>
    </row>
    <row r="2740" spans="1:23">
      <c r="A2740"/>
      <c r="B2740" t="s">
        <v>74</v>
      </c>
      <c r="C2740" t="s">
        <v>74</v>
      </c>
      <c r="D2740" t="s">
        <v>33</v>
      </c>
      <c r="E2740" t="s">
        <v>34</v>
      </c>
      <c r="F2740" t="str">
        <f>"0003043"</f>
        <v>0003043</v>
      </c>
      <c r="G2740">
        <v>1</v>
      </c>
      <c r="H2740" t="str">
        <f>"00000000"</f>
        <v>00000000</v>
      </c>
      <c r="I2740" t="s">
        <v>35</v>
      </c>
      <c r="J2740"/>
      <c r="K2740">
        <v>3.39</v>
      </c>
      <c r="L2740">
        <v>0.0</v>
      </c>
      <c r="M2740"/>
      <c r="N2740"/>
      <c r="O2740">
        <v>0.61</v>
      </c>
      <c r="P2740">
        <v>0.0</v>
      </c>
      <c r="Q2740">
        <v>4.0</v>
      </c>
      <c r="R2740"/>
      <c r="S2740"/>
      <c r="T2740"/>
      <c r="U2740"/>
      <c r="V2740"/>
      <c r="W2740">
        <v>18</v>
      </c>
    </row>
    <row r="2741" spans="1:23">
      <c r="A2741"/>
      <c r="B2741" t="s">
        <v>74</v>
      </c>
      <c r="C2741" t="s">
        <v>74</v>
      </c>
      <c r="D2741" t="s">
        <v>33</v>
      </c>
      <c r="E2741" t="s">
        <v>34</v>
      </c>
      <c r="F2741" t="str">
        <f>"0003044"</f>
        <v>0003044</v>
      </c>
      <c r="G2741">
        <v>1</v>
      </c>
      <c r="H2741" t="str">
        <f>"00000000"</f>
        <v>00000000</v>
      </c>
      <c r="I2741" t="s">
        <v>35</v>
      </c>
      <c r="J2741"/>
      <c r="K2741">
        <v>11.02</v>
      </c>
      <c r="L2741">
        <v>0.0</v>
      </c>
      <c r="M2741"/>
      <c r="N2741"/>
      <c r="O2741">
        <v>1.98</v>
      </c>
      <c r="P2741">
        <v>0.0</v>
      </c>
      <c r="Q2741">
        <v>13.0</v>
      </c>
      <c r="R2741"/>
      <c r="S2741"/>
      <c r="T2741"/>
      <c r="U2741"/>
      <c r="V2741"/>
      <c r="W2741">
        <v>18</v>
      </c>
    </row>
    <row r="2742" spans="1:23">
      <c r="A2742"/>
      <c r="B2742" t="s">
        <v>74</v>
      </c>
      <c r="C2742" t="s">
        <v>74</v>
      </c>
      <c r="D2742" t="s">
        <v>33</v>
      </c>
      <c r="E2742" t="s">
        <v>34</v>
      </c>
      <c r="F2742" t="str">
        <f>"0003045"</f>
        <v>0003045</v>
      </c>
      <c r="G2742">
        <v>1</v>
      </c>
      <c r="H2742" t="str">
        <f>"00000000"</f>
        <v>00000000</v>
      </c>
      <c r="I2742" t="s">
        <v>35</v>
      </c>
      <c r="J2742"/>
      <c r="K2742">
        <v>27.84</v>
      </c>
      <c r="L2742">
        <v>0.0</v>
      </c>
      <c r="M2742"/>
      <c r="N2742"/>
      <c r="O2742">
        <v>5.01</v>
      </c>
      <c r="P2742">
        <v>0.0</v>
      </c>
      <c r="Q2742">
        <v>32.85</v>
      </c>
      <c r="R2742"/>
      <c r="S2742"/>
      <c r="T2742"/>
      <c r="U2742"/>
      <c r="V2742"/>
      <c r="W2742">
        <v>18</v>
      </c>
    </row>
    <row r="2743" spans="1:23">
      <c r="A2743"/>
      <c r="B2743" t="s">
        <v>74</v>
      </c>
      <c r="C2743" t="s">
        <v>74</v>
      </c>
      <c r="D2743" t="s">
        <v>33</v>
      </c>
      <c r="E2743" t="s">
        <v>34</v>
      </c>
      <c r="F2743" t="str">
        <f>"0003046"</f>
        <v>0003046</v>
      </c>
      <c r="G2743">
        <v>1</v>
      </c>
      <c r="H2743" t="str">
        <f>"00000000"</f>
        <v>00000000</v>
      </c>
      <c r="I2743" t="s">
        <v>35</v>
      </c>
      <c r="J2743"/>
      <c r="K2743">
        <v>1.71</v>
      </c>
      <c r="L2743">
        <v>0.0</v>
      </c>
      <c r="M2743"/>
      <c r="N2743"/>
      <c r="O2743">
        <v>0.31</v>
      </c>
      <c r="P2743">
        <v>0.0</v>
      </c>
      <c r="Q2743">
        <v>2.02</v>
      </c>
      <c r="R2743"/>
      <c r="S2743"/>
      <c r="T2743"/>
      <c r="U2743"/>
      <c r="V2743"/>
      <c r="W2743">
        <v>18</v>
      </c>
    </row>
    <row r="2744" spans="1:23">
      <c r="A2744"/>
      <c r="B2744" t="s">
        <v>74</v>
      </c>
      <c r="C2744" t="s">
        <v>74</v>
      </c>
      <c r="D2744" t="s">
        <v>33</v>
      </c>
      <c r="E2744" t="s">
        <v>34</v>
      </c>
      <c r="F2744" t="str">
        <f>"0003047"</f>
        <v>0003047</v>
      </c>
      <c r="G2744">
        <v>1</v>
      </c>
      <c r="H2744" t="str">
        <f>"00000000"</f>
        <v>00000000</v>
      </c>
      <c r="I2744" t="s">
        <v>35</v>
      </c>
      <c r="J2744"/>
      <c r="K2744">
        <v>1.08</v>
      </c>
      <c r="L2744">
        <v>0.0</v>
      </c>
      <c r="M2744"/>
      <c r="N2744"/>
      <c r="O2744">
        <v>0.2</v>
      </c>
      <c r="P2744">
        <v>0.0</v>
      </c>
      <c r="Q2744">
        <v>1.28</v>
      </c>
      <c r="R2744"/>
      <c r="S2744"/>
      <c r="T2744"/>
      <c r="U2744"/>
      <c r="V2744"/>
      <c r="W2744">
        <v>18</v>
      </c>
    </row>
    <row r="2745" spans="1:23">
      <c r="A2745"/>
      <c r="B2745" t="s">
        <v>74</v>
      </c>
      <c r="C2745" t="s">
        <v>74</v>
      </c>
      <c r="D2745" t="s">
        <v>33</v>
      </c>
      <c r="E2745" t="s">
        <v>34</v>
      </c>
      <c r="F2745" t="str">
        <f>"0003048"</f>
        <v>0003048</v>
      </c>
      <c r="G2745">
        <v>1</v>
      </c>
      <c r="H2745" t="str">
        <f>"00000000"</f>
        <v>00000000</v>
      </c>
      <c r="I2745" t="s">
        <v>35</v>
      </c>
      <c r="J2745"/>
      <c r="K2745">
        <v>1.86</v>
      </c>
      <c r="L2745">
        <v>0.0</v>
      </c>
      <c r="M2745"/>
      <c r="N2745"/>
      <c r="O2745">
        <v>0.34</v>
      </c>
      <c r="P2745">
        <v>0.0</v>
      </c>
      <c r="Q2745">
        <v>2.2</v>
      </c>
      <c r="R2745"/>
      <c r="S2745"/>
      <c r="T2745"/>
      <c r="U2745"/>
      <c r="V2745"/>
      <c r="W2745">
        <v>18</v>
      </c>
    </row>
    <row r="2746" spans="1:23">
      <c r="A2746"/>
      <c r="B2746" t="s">
        <v>74</v>
      </c>
      <c r="C2746" t="s">
        <v>74</v>
      </c>
      <c r="D2746" t="s">
        <v>33</v>
      </c>
      <c r="E2746" t="s">
        <v>34</v>
      </c>
      <c r="F2746" t="str">
        <f>"0003049"</f>
        <v>0003049</v>
      </c>
      <c r="G2746">
        <v>1</v>
      </c>
      <c r="H2746" t="str">
        <f>"00000000"</f>
        <v>00000000</v>
      </c>
      <c r="I2746" t="s">
        <v>35</v>
      </c>
      <c r="J2746"/>
      <c r="K2746">
        <v>20.19</v>
      </c>
      <c r="L2746">
        <v>0.0</v>
      </c>
      <c r="M2746"/>
      <c r="N2746"/>
      <c r="O2746">
        <v>3.63</v>
      </c>
      <c r="P2746">
        <v>0.2</v>
      </c>
      <c r="Q2746">
        <v>24.02</v>
      </c>
      <c r="R2746"/>
      <c r="S2746"/>
      <c r="T2746"/>
      <c r="U2746"/>
      <c r="V2746"/>
      <c r="W2746">
        <v>18</v>
      </c>
    </row>
    <row r="2747" spans="1:23">
      <c r="A2747"/>
      <c r="B2747" t="s">
        <v>74</v>
      </c>
      <c r="C2747" t="s">
        <v>74</v>
      </c>
      <c r="D2747" t="s">
        <v>33</v>
      </c>
      <c r="E2747" t="s">
        <v>34</v>
      </c>
      <c r="F2747" t="str">
        <f>"0003050"</f>
        <v>0003050</v>
      </c>
      <c r="G2747">
        <v>1</v>
      </c>
      <c r="H2747" t="str">
        <f>"00000000"</f>
        <v>00000000</v>
      </c>
      <c r="I2747" t="s">
        <v>35</v>
      </c>
      <c r="J2747"/>
      <c r="K2747">
        <v>9.24</v>
      </c>
      <c r="L2747">
        <v>0.0</v>
      </c>
      <c r="M2747"/>
      <c r="N2747"/>
      <c r="O2747">
        <v>1.66</v>
      </c>
      <c r="P2747">
        <v>0.0</v>
      </c>
      <c r="Q2747">
        <v>10.9</v>
      </c>
      <c r="R2747"/>
      <c r="S2747"/>
      <c r="T2747"/>
      <c r="U2747"/>
      <c r="V2747"/>
      <c r="W2747">
        <v>18</v>
      </c>
    </row>
    <row r="2748" spans="1:23">
      <c r="A2748"/>
      <c r="B2748" t="s">
        <v>74</v>
      </c>
      <c r="C2748" t="s">
        <v>74</v>
      </c>
      <c r="D2748" t="s">
        <v>33</v>
      </c>
      <c r="E2748" t="s">
        <v>34</v>
      </c>
      <c r="F2748" t="str">
        <f>"0003051"</f>
        <v>0003051</v>
      </c>
      <c r="G2748">
        <v>1</v>
      </c>
      <c r="H2748" t="str">
        <f>"00000000"</f>
        <v>00000000</v>
      </c>
      <c r="I2748" t="s">
        <v>35</v>
      </c>
      <c r="J2748"/>
      <c r="K2748">
        <v>0.02</v>
      </c>
      <c r="L2748">
        <v>0.0</v>
      </c>
      <c r="M2748"/>
      <c r="N2748"/>
      <c r="O2748">
        <v>0.0</v>
      </c>
      <c r="P2748">
        <v>0.2</v>
      </c>
      <c r="Q2748">
        <v>0.22</v>
      </c>
      <c r="R2748"/>
      <c r="S2748"/>
      <c r="T2748"/>
      <c r="U2748"/>
      <c r="V2748"/>
      <c r="W2748">
        <v>18</v>
      </c>
    </row>
    <row r="2749" spans="1:23">
      <c r="A2749"/>
      <c r="B2749" t="s">
        <v>74</v>
      </c>
      <c r="C2749" t="s">
        <v>74</v>
      </c>
      <c r="D2749" t="s">
        <v>33</v>
      </c>
      <c r="E2749" t="s">
        <v>34</v>
      </c>
      <c r="F2749" t="str">
        <f>"0003052"</f>
        <v>0003052</v>
      </c>
      <c r="G2749">
        <v>1</v>
      </c>
      <c r="H2749" t="str">
        <f>"00000000"</f>
        <v>00000000</v>
      </c>
      <c r="I2749" t="s">
        <v>35</v>
      </c>
      <c r="J2749"/>
      <c r="K2749">
        <v>8.49</v>
      </c>
      <c r="L2749">
        <v>0.0</v>
      </c>
      <c r="M2749"/>
      <c r="N2749"/>
      <c r="O2749">
        <v>1.53</v>
      </c>
      <c r="P2749">
        <v>0.2</v>
      </c>
      <c r="Q2749">
        <v>10.22</v>
      </c>
      <c r="R2749"/>
      <c r="S2749"/>
      <c r="T2749"/>
      <c r="U2749"/>
      <c r="V2749"/>
      <c r="W2749">
        <v>18</v>
      </c>
    </row>
    <row r="2750" spans="1:23">
      <c r="A2750"/>
      <c r="B2750" t="s">
        <v>74</v>
      </c>
      <c r="C2750" t="s">
        <v>74</v>
      </c>
      <c r="D2750" t="s">
        <v>33</v>
      </c>
      <c r="E2750" t="s">
        <v>34</v>
      </c>
      <c r="F2750" t="str">
        <f>"0003053"</f>
        <v>0003053</v>
      </c>
      <c r="G2750">
        <v>1</v>
      </c>
      <c r="H2750" t="str">
        <f>"00000000"</f>
        <v>00000000</v>
      </c>
      <c r="I2750" t="s">
        <v>35</v>
      </c>
      <c r="J2750"/>
      <c r="K2750">
        <v>29.66</v>
      </c>
      <c r="L2750">
        <v>0.0</v>
      </c>
      <c r="M2750"/>
      <c r="N2750"/>
      <c r="O2750">
        <v>5.34</v>
      </c>
      <c r="P2750">
        <v>0.2</v>
      </c>
      <c r="Q2750">
        <v>35.2</v>
      </c>
      <c r="R2750"/>
      <c r="S2750"/>
      <c r="T2750"/>
      <c r="U2750"/>
      <c r="V2750"/>
      <c r="W2750">
        <v>18</v>
      </c>
    </row>
    <row r="2751" spans="1:23">
      <c r="A2751"/>
      <c r="B2751" t="s">
        <v>74</v>
      </c>
      <c r="C2751" t="s">
        <v>74</v>
      </c>
      <c r="D2751" t="s">
        <v>33</v>
      </c>
      <c r="E2751" t="s">
        <v>34</v>
      </c>
      <c r="F2751" t="str">
        <f>"0003054"</f>
        <v>0003054</v>
      </c>
      <c r="G2751">
        <v>1</v>
      </c>
      <c r="H2751" t="str">
        <f>"00000000"</f>
        <v>00000000</v>
      </c>
      <c r="I2751" t="s">
        <v>35</v>
      </c>
      <c r="J2751"/>
      <c r="K2751">
        <v>3.39</v>
      </c>
      <c r="L2751">
        <v>0.0</v>
      </c>
      <c r="M2751"/>
      <c r="N2751"/>
      <c r="O2751">
        <v>0.61</v>
      </c>
      <c r="P2751">
        <v>0.0</v>
      </c>
      <c r="Q2751">
        <v>4.0</v>
      </c>
      <c r="R2751"/>
      <c r="S2751"/>
      <c r="T2751"/>
      <c r="U2751"/>
      <c r="V2751"/>
      <c r="W2751">
        <v>18</v>
      </c>
    </row>
    <row r="2752" spans="1:23">
      <c r="A2752"/>
      <c r="B2752" t="s">
        <v>74</v>
      </c>
      <c r="C2752" t="s">
        <v>74</v>
      </c>
      <c r="D2752" t="s">
        <v>33</v>
      </c>
      <c r="E2752" t="s">
        <v>34</v>
      </c>
      <c r="F2752" t="str">
        <f>"0003055"</f>
        <v>0003055</v>
      </c>
      <c r="G2752">
        <v>1</v>
      </c>
      <c r="H2752" t="str">
        <f>"00000000"</f>
        <v>00000000</v>
      </c>
      <c r="I2752" t="s">
        <v>35</v>
      </c>
      <c r="J2752"/>
      <c r="K2752">
        <v>65.25</v>
      </c>
      <c r="L2752">
        <v>0.0</v>
      </c>
      <c r="M2752"/>
      <c r="N2752"/>
      <c r="O2752">
        <v>11.75</v>
      </c>
      <c r="P2752">
        <v>0.4</v>
      </c>
      <c r="Q2752">
        <v>77.4</v>
      </c>
      <c r="R2752"/>
      <c r="S2752"/>
      <c r="T2752"/>
      <c r="U2752"/>
      <c r="V2752"/>
      <c r="W2752">
        <v>18</v>
      </c>
    </row>
    <row r="2753" spans="1:23">
      <c r="A2753"/>
      <c r="B2753" t="s">
        <v>74</v>
      </c>
      <c r="C2753" t="s">
        <v>74</v>
      </c>
      <c r="D2753" t="s">
        <v>33</v>
      </c>
      <c r="E2753" t="s">
        <v>34</v>
      </c>
      <c r="F2753" t="str">
        <f>"0003056"</f>
        <v>0003056</v>
      </c>
      <c r="G2753">
        <v>1</v>
      </c>
      <c r="H2753" t="str">
        <f>"00000000"</f>
        <v>00000000</v>
      </c>
      <c r="I2753" t="s">
        <v>35</v>
      </c>
      <c r="J2753"/>
      <c r="K2753">
        <v>1.71</v>
      </c>
      <c r="L2753">
        <v>0.0</v>
      </c>
      <c r="M2753"/>
      <c r="N2753"/>
      <c r="O2753">
        <v>0.31</v>
      </c>
      <c r="P2753">
        <v>0.0</v>
      </c>
      <c r="Q2753">
        <v>2.02</v>
      </c>
      <c r="R2753"/>
      <c r="S2753"/>
      <c r="T2753"/>
      <c r="U2753"/>
      <c r="V2753"/>
      <c r="W2753">
        <v>18</v>
      </c>
    </row>
    <row r="2754" spans="1:23">
      <c r="A2754"/>
      <c r="B2754" t="s">
        <v>74</v>
      </c>
      <c r="C2754" t="s">
        <v>74</v>
      </c>
      <c r="D2754" t="s">
        <v>33</v>
      </c>
      <c r="E2754" t="s">
        <v>34</v>
      </c>
      <c r="F2754" t="str">
        <f>"0003057"</f>
        <v>0003057</v>
      </c>
      <c r="G2754">
        <v>1</v>
      </c>
      <c r="H2754" t="str">
        <f>"00000000"</f>
        <v>00000000</v>
      </c>
      <c r="I2754" t="s">
        <v>35</v>
      </c>
      <c r="J2754"/>
      <c r="K2754">
        <v>11.57</v>
      </c>
      <c r="L2754">
        <v>5.39</v>
      </c>
      <c r="M2754"/>
      <c r="N2754"/>
      <c r="O2754">
        <v>2.08</v>
      </c>
      <c r="P2754">
        <v>0.0</v>
      </c>
      <c r="Q2754">
        <v>19.05</v>
      </c>
      <c r="R2754"/>
      <c r="S2754"/>
      <c r="T2754"/>
      <c r="U2754"/>
      <c r="V2754"/>
      <c r="W2754">
        <v>18</v>
      </c>
    </row>
    <row r="2755" spans="1:23">
      <c r="A2755"/>
      <c r="B2755" t="s">
        <v>74</v>
      </c>
      <c r="C2755" t="s">
        <v>74</v>
      </c>
      <c r="D2755" t="s">
        <v>33</v>
      </c>
      <c r="E2755" t="s">
        <v>34</v>
      </c>
      <c r="F2755" t="str">
        <f>"0003058"</f>
        <v>0003058</v>
      </c>
      <c r="G2755">
        <v>1</v>
      </c>
      <c r="H2755" t="str">
        <f>"00000000"</f>
        <v>00000000</v>
      </c>
      <c r="I2755" t="s">
        <v>35</v>
      </c>
      <c r="J2755"/>
      <c r="K2755">
        <v>8.59</v>
      </c>
      <c r="L2755">
        <v>0.28</v>
      </c>
      <c r="M2755"/>
      <c r="N2755"/>
      <c r="O2755">
        <v>1.55</v>
      </c>
      <c r="P2755">
        <v>0.2</v>
      </c>
      <c r="Q2755">
        <v>10.61</v>
      </c>
      <c r="R2755"/>
      <c r="S2755"/>
      <c r="T2755"/>
      <c r="U2755"/>
      <c r="V2755"/>
      <c r="W2755">
        <v>18</v>
      </c>
    </row>
    <row r="2756" spans="1:23">
      <c r="A2756"/>
      <c r="B2756" t="s">
        <v>74</v>
      </c>
      <c r="C2756" t="s">
        <v>74</v>
      </c>
      <c r="D2756" t="s">
        <v>33</v>
      </c>
      <c r="E2756" t="s">
        <v>34</v>
      </c>
      <c r="F2756" t="str">
        <f>"0003059"</f>
        <v>0003059</v>
      </c>
      <c r="G2756">
        <v>1</v>
      </c>
      <c r="H2756" t="str">
        <f>"00000000"</f>
        <v>00000000</v>
      </c>
      <c r="I2756" t="s">
        <v>35</v>
      </c>
      <c r="J2756"/>
      <c r="K2756">
        <v>6.97</v>
      </c>
      <c r="L2756">
        <v>0.0</v>
      </c>
      <c r="M2756"/>
      <c r="N2756"/>
      <c r="O2756">
        <v>1.25</v>
      </c>
      <c r="P2756">
        <v>0.2</v>
      </c>
      <c r="Q2756">
        <v>8.42</v>
      </c>
      <c r="R2756"/>
      <c r="S2756"/>
      <c r="T2756"/>
      <c r="U2756"/>
      <c r="V2756"/>
      <c r="W2756">
        <v>18</v>
      </c>
    </row>
    <row r="2757" spans="1:23">
      <c r="A2757"/>
      <c r="B2757" t="s">
        <v>74</v>
      </c>
      <c r="C2757" t="s">
        <v>74</v>
      </c>
      <c r="D2757" t="s">
        <v>33</v>
      </c>
      <c r="E2757" t="s">
        <v>34</v>
      </c>
      <c r="F2757" t="str">
        <f>"0003060"</f>
        <v>0003060</v>
      </c>
      <c r="G2757">
        <v>1</v>
      </c>
      <c r="H2757" t="str">
        <f>"00000000"</f>
        <v>00000000</v>
      </c>
      <c r="I2757" t="s">
        <v>35</v>
      </c>
      <c r="J2757"/>
      <c r="K2757">
        <v>0.02</v>
      </c>
      <c r="L2757">
        <v>0.0</v>
      </c>
      <c r="M2757"/>
      <c r="N2757"/>
      <c r="O2757">
        <v>0.0</v>
      </c>
      <c r="P2757">
        <v>0.2</v>
      </c>
      <c r="Q2757">
        <v>0.22</v>
      </c>
      <c r="R2757"/>
      <c r="S2757"/>
      <c r="T2757"/>
      <c r="U2757"/>
      <c r="V2757"/>
      <c r="W2757">
        <v>18</v>
      </c>
    </row>
    <row r="2758" spans="1:23">
      <c r="A2758"/>
      <c r="B2758" t="s">
        <v>74</v>
      </c>
      <c r="C2758" t="s">
        <v>74</v>
      </c>
      <c r="D2758" t="s">
        <v>33</v>
      </c>
      <c r="E2758" t="s">
        <v>34</v>
      </c>
      <c r="F2758" t="str">
        <f>"0003061"</f>
        <v>0003061</v>
      </c>
      <c r="G2758">
        <v>1</v>
      </c>
      <c r="H2758" t="str">
        <f>"00000000"</f>
        <v>00000000</v>
      </c>
      <c r="I2758" t="s">
        <v>35</v>
      </c>
      <c r="J2758"/>
      <c r="K2758">
        <v>40.2</v>
      </c>
      <c r="L2758">
        <v>0.0</v>
      </c>
      <c r="M2758"/>
      <c r="N2758"/>
      <c r="O2758">
        <v>7.24</v>
      </c>
      <c r="P2758">
        <v>0.2</v>
      </c>
      <c r="Q2758">
        <v>47.63</v>
      </c>
      <c r="R2758"/>
      <c r="S2758"/>
      <c r="T2758"/>
      <c r="U2758"/>
      <c r="V2758"/>
      <c r="W2758">
        <v>18</v>
      </c>
    </row>
    <row r="2759" spans="1:23">
      <c r="A2759"/>
      <c r="B2759" t="s">
        <v>74</v>
      </c>
      <c r="C2759" t="s">
        <v>74</v>
      </c>
      <c r="D2759" t="s">
        <v>33</v>
      </c>
      <c r="E2759" t="s">
        <v>34</v>
      </c>
      <c r="F2759" t="str">
        <f>"0003062"</f>
        <v>0003062</v>
      </c>
      <c r="G2759">
        <v>1</v>
      </c>
      <c r="H2759" t="str">
        <f>"00000000"</f>
        <v>00000000</v>
      </c>
      <c r="I2759" t="s">
        <v>35</v>
      </c>
      <c r="J2759"/>
      <c r="K2759">
        <v>6.0</v>
      </c>
      <c r="L2759">
        <v>0.0</v>
      </c>
      <c r="M2759"/>
      <c r="N2759"/>
      <c r="O2759">
        <v>1.08</v>
      </c>
      <c r="P2759">
        <v>0.2</v>
      </c>
      <c r="Q2759">
        <v>7.29</v>
      </c>
      <c r="R2759"/>
      <c r="S2759"/>
      <c r="T2759"/>
      <c r="U2759"/>
      <c r="V2759"/>
      <c r="W2759">
        <v>18</v>
      </c>
    </row>
    <row r="2760" spans="1:23">
      <c r="A2760"/>
      <c r="B2760" t="s">
        <v>74</v>
      </c>
      <c r="C2760" t="s">
        <v>74</v>
      </c>
      <c r="D2760" t="s">
        <v>33</v>
      </c>
      <c r="E2760" t="s">
        <v>34</v>
      </c>
      <c r="F2760" t="str">
        <f>"0003063"</f>
        <v>0003063</v>
      </c>
      <c r="G2760">
        <v>1</v>
      </c>
      <c r="H2760" t="str">
        <f>"00000000"</f>
        <v>00000000</v>
      </c>
      <c r="I2760" t="s">
        <v>35</v>
      </c>
      <c r="J2760"/>
      <c r="K2760">
        <v>5.9</v>
      </c>
      <c r="L2760">
        <v>0.0</v>
      </c>
      <c r="M2760"/>
      <c r="N2760"/>
      <c r="O2760">
        <v>1.06</v>
      </c>
      <c r="P2760">
        <v>0.0</v>
      </c>
      <c r="Q2760">
        <v>6.97</v>
      </c>
      <c r="R2760"/>
      <c r="S2760"/>
      <c r="T2760"/>
      <c r="U2760"/>
      <c r="V2760"/>
      <c r="W2760">
        <v>18</v>
      </c>
    </row>
    <row r="2761" spans="1:23">
      <c r="A2761"/>
      <c r="B2761" t="s">
        <v>74</v>
      </c>
      <c r="C2761" t="s">
        <v>74</v>
      </c>
      <c r="D2761" t="s">
        <v>33</v>
      </c>
      <c r="E2761" t="s">
        <v>34</v>
      </c>
      <c r="F2761" t="str">
        <f>"0003064"</f>
        <v>0003064</v>
      </c>
      <c r="G2761">
        <v>1</v>
      </c>
      <c r="H2761" t="str">
        <f>"00000000"</f>
        <v>00000000</v>
      </c>
      <c r="I2761" t="s">
        <v>35</v>
      </c>
      <c r="J2761"/>
      <c r="K2761">
        <v>0.02</v>
      </c>
      <c r="L2761">
        <v>0.0</v>
      </c>
      <c r="M2761"/>
      <c r="N2761"/>
      <c r="O2761">
        <v>0.0</v>
      </c>
      <c r="P2761">
        <v>0.2</v>
      </c>
      <c r="Q2761">
        <v>0.22</v>
      </c>
      <c r="R2761"/>
      <c r="S2761"/>
      <c r="T2761"/>
      <c r="U2761"/>
      <c r="V2761"/>
      <c r="W2761">
        <v>18</v>
      </c>
    </row>
    <row r="2762" spans="1:23">
      <c r="A2762"/>
      <c r="B2762" t="s">
        <v>74</v>
      </c>
      <c r="C2762" t="s">
        <v>74</v>
      </c>
      <c r="D2762" t="s">
        <v>33</v>
      </c>
      <c r="E2762" t="s">
        <v>34</v>
      </c>
      <c r="F2762" t="str">
        <f>"0003065"</f>
        <v>0003065</v>
      </c>
      <c r="G2762">
        <v>1</v>
      </c>
      <c r="H2762" t="str">
        <f>"00000000"</f>
        <v>00000000</v>
      </c>
      <c r="I2762" t="s">
        <v>35</v>
      </c>
      <c r="J2762"/>
      <c r="K2762">
        <v>9.85</v>
      </c>
      <c r="L2762">
        <v>0.0</v>
      </c>
      <c r="M2762"/>
      <c r="N2762"/>
      <c r="O2762">
        <v>1.77</v>
      </c>
      <c r="P2762">
        <v>0.2</v>
      </c>
      <c r="Q2762">
        <v>11.82</v>
      </c>
      <c r="R2762"/>
      <c r="S2762"/>
      <c r="T2762"/>
      <c r="U2762"/>
      <c r="V2762"/>
      <c r="W2762">
        <v>18</v>
      </c>
    </row>
    <row r="2763" spans="1:23">
      <c r="A2763"/>
      <c r="B2763" t="s">
        <v>74</v>
      </c>
      <c r="C2763" t="s">
        <v>74</v>
      </c>
      <c r="D2763" t="s">
        <v>33</v>
      </c>
      <c r="E2763" t="s">
        <v>34</v>
      </c>
      <c r="F2763" t="str">
        <f>"0003066"</f>
        <v>0003066</v>
      </c>
      <c r="G2763">
        <v>1</v>
      </c>
      <c r="H2763" t="str">
        <f>"00000000"</f>
        <v>00000000</v>
      </c>
      <c r="I2763" t="s">
        <v>35</v>
      </c>
      <c r="J2763"/>
      <c r="K2763">
        <v>13.98</v>
      </c>
      <c r="L2763">
        <v>0.0</v>
      </c>
      <c r="M2763"/>
      <c r="N2763"/>
      <c r="O2763">
        <v>2.52</v>
      </c>
      <c r="P2763">
        <v>0.0</v>
      </c>
      <c r="Q2763">
        <v>16.5</v>
      </c>
      <c r="R2763"/>
      <c r="S2763"/>
      <c r="T2763"/>
      <c r="U2763"/>
      <c r="V2763"/>
      <c r="W2763">
        <v>18</v>
      </c>
    </row>
    <row r="2764" spans="1:23">
      <c r="A2764"/>
      <c r="B2764" t="s">
        <v>74</v>
      </c>
      <c r="C2764" t="s">
        <v>74</v>
      </c>
      <c r="D2764" t="s">
        <v>33</v>
      </c>
      <c r="E2764" t="s">
        <v>34</v>
      </c>
      <c r="F2764" t="str">
        <f>"0003067"</f>
        <v>0003067</v>
      </c>
      <c r="G2764">
        <v>1</v>
      </c>
      <c r="H2764" t="str">
        <f>"00000000"</f>
        <v>00000000</v>
      </c>
      <c r="I2764" t="s">
        <v>35</v>
      </c>
      <c r="J2764"/>
      <c r="K2764">
        <v>10.69</v>
      </c>
      <c r="L2764">
        <v>0.0</v>
      </c>
      <c r="M2764"/>
      <c r="N2764"/>
      <c r="O2764">
        <v>1.93</v>
      </c>
      <c r="P2764">
        <v>0.2</v>
      </c>
      <c r="Q2764">
        <v>12.82</v>
      </c>
      <c r="R2764"/>
      <c r="S2764"/>
      <c r="T2764"/>
      <c r="U2764"/>
      <c r="V2764"/>
      <c r="W2764">
        <v>18</v>
      </c>
    </row>
    <row r="2765" spans="1:23">
      <c r="A2765"/>
      <c r="B2765" t="s">
        <v>74</v>
      </c>
      <c r="C2765" t="s">
        <v>74</v>
      </c>
      <c r="D2765" t="s">
        <v>33</v>
      </c>
      <c r="E2765" t="s">
        <v>34</v>
      </c>
      <c r="F2765" t="str">
        <f>"0003068"</f>
        <v>0003068</v>
      </c>
      <c r="G2765">
        <v>1</v>
      </c>
      <c r="H2765" t="str">
        <f>"00000000"</f>
        <v>00000000</v>
      </c>
      <c r="I2765" t="s">
        <v>35</v>
      </c>
      <c r="J2765"/>
      <c r="K2765">
        <v>1.8</v>
      </c>
      <c r="L2765">
        <v>0.0</v>
      </c>
      <c r="M2765"/>
      <c r="N2765"/>
      <c r="O2765">
        <v>0.32</v>
      </c>
      <c r="P2765">
        <v>0.0</v>
      </c>
      <c r="Q2765">
        <v>2.13</v>
      </c>
      <c r="R2765"/>
      <c r="S2765"/>
      <c r="T2765"/>
      <c r="U2765"/>
      <c r="V2765"/>
      <c r="W2765">
        <v>18</v>
      </c>
    </row>
    <row r="2766" spans="1:23">
      <c r="A2766"/>
      <c r="B2766" t="s">
        <v>74</v>
      </c>
      <c r="C2766" t="s">
        <v>74</v>
      </c>
      <c r="D2766" t="s">
        <v>33</v>
      </c>
      <c r="E2766" t="s">
        <v>34</v>
      </c>
      <c r="F2766" t="str">
        <f>"0003069"</f>
        <v>0003069</v>
      </c>
      <c r="G2766">
        <v>1</v>
      </c>
      <c r="H2766" t="str">
        <f>"00000000"</f>
        <v>00000000</v>
      </c>
      <c r="I2766" t="s">
        <v>35</v>
      </c>
      <c r="J2766"/>
      <c r="K2766">
        <v>12.98</v>
      </c>
      <c r="L2766">
        <v>0.0</v>
      </c>
      <c r="M2766"/>
      <c r="N2766"/>
      <c r="O2766">
        <v>2.34</v>
      </c>
      <c r="P2766">
        <v>0.2</v>
      </c>
      <c r="Q2766">
        <v>15.52</v>
      </c>
      <c r="R2766"/>
      <c r="S2766"/>
      <c r="T2766"/>
      <c r="U2766"/>
      <c r="V2766"/>
      <c r="W2766">
        <v>18</v>
      </c>
    </row>
    <row r="2767" spans="1:23">
      <c r="A2767"/>
      <c r="B2767" t="s">
        <v>74</v>
      </c>
      <c r="C2767" t="s">
        <v>74</v>
      </c>
      <c r="D2767" t="s">
        <v>33</v>
      </c>
      <c r="E2767" t="s">
        <v>34</v>
      </c>
      <c r="F2767" t="str">
        <f>"0003070"</f>
        <v>0003070</v>
      </c>
      <c r="G2767">
        <v>1</v>
      </c>
      <c r="H2767" t="str">
        <f>"00000000"</f>
        <v>00000000</v>
      </c>
      <c r="I2767" t="s">
        <v>35</v>
      </c>
      <c r="J2767"/>
      <c r="K2767">
        <v>42.56</v>
      </c>
      <c r="L2767">
        <v>0.0</v>
      </c>
      <c r="M2767"/>
      <c r="N2767"/>
      <c r="O2767">
        <v>7.66</v>
      </c>
      <c r="P2767">
        <v>0.2</v>
      </c>
      <c r="Q2767">
        <v>50.42</v>
      </c>
      <c r="R2767"/>
      <c r="S2767"/>
      <c r="T2767"/>
      <c r="U2767"/>
      <c r="V2767"/>
      <c r="W2767">
        <v>18</v>
      </c>
    </row>
    <row r="2768" spans="1:23">
      <c r="A2768"/>
      <c r="B2768" t="s">
        <v>74</v>
      </c>
      <c r="C2768" t="s">
        <v>74</v>
      </c>
      <c r="D2768" t="s">
        <v>33</v>
      </c>
      <c r="E2768" t="s">
        <v>34</v>
      </c>
      <c r="F2768" t="str">
        <f>"0003071"</f>
        <v>0003071</v>
      </c>
      <c r="G2768">
        <v>1</v>
      </c>
      <c r="H2768" t="str">
        <f>"00000000"</f>
        <v>00000000</v>
      </c>
      <c r="I2768" t="s">
        <v>35</v>
      </c>
      <c r="J2768"/>
      <c r="K2768">
        <v>17.81</v>
      </c>
      <c r="L2768">
        <v>0.0</v>
      </c>
      <c r="M2768"/>
      <c r="N2768"/>
      <c r="O2768">
        <v>3.21</v>
      </c>
      <c r="P2768">
        <v>0.2</v>
      </c>
      <c r="Q2768">
        <v>21.22</v>
      </c>
      <c r="R2768"/>
      <c r="S2768"/>
      <c r="T2768"/>
      <c r="U2768"/>
      <c r="V2768"/>
      <c r="W2768">
        <v>18</v>
      </c>
    </row>
    <row r="2769" spans="1:23">
      <c r="A2769"/>
      <c r="B2769" t="s">
        <v>74</v>
      </c>
      <c r="C2769" t="s">
        <v>74</v>
      </c>
      <c r="D2769" t="s">
        <v>33</v>
      </c>
      <c r="E2769" t="s">
        <v>34</v>
      </c>
      <c r="F2769" t="str">
        <f>"0003072"</f>
        <v>0003072</v>
      </c>
      <c r="G2769">
        <v>1</v>
      </c>
      <c r="H2769" t="str">
        <f>"00000000"</f>
        <v>00000000</v>
      </c>
      <c r="I2769" t="s">
        <v>35</v>
      </c>
      <c r="J2769"/>
      <c r="K2769">
        <v>5.51</v>
      </c>
      <c r="L2769">
        <v>0.0</v>
      </c>
      <c r="M2769"/>
      <c r="N2769"/>
      <c r="O2769">
        <v>0.99</v>
      </c>
      <c r="P2769">
        <v>0.0</v>
      </c>
      <c r="Q2769">
        <v>6.5</v>
      </c>
      <c r="R2769"/>
      <c r="S2769"/>
      <c r="T2769"/>
      <c r="U2769"/>
      <c r="V2769"/>
      <c r="W2769">
        <v>18</v>
      </c>
    </row>
    <row r="2770" spans="1:23">
      <c r="A2770"/>
      <c r="B2770" t="s">
        <v>74</v>
      </c>
      <c r="C2770" t="s">
        <v>74</v>
      </c>
      <c r="D2770" t="s">
        <v>33</v>
      </c>
      <c r="E2770" t="s">
        <v>34</v>
      </c>
      <c r="F2770" t="str">
        <f>"0003073"</f>
        <v>0003073</v>
      </c>
      <c r="G2770">
        <v>1</v>
      </c>
      <c r="H2770" t="str">
        <f>"00000000"</f>
        <v>00000000</v>
      </c>
      <c r="I2770" t="s">
        <v>35</v>
      </c>
      <c r="J2770"/>
      <c r="K2770">
        <v>12.63</v>
      </c>
      <c r="L2770">
        <v>0.0</v>
      </c>
      <c r="M2770"/>
      <c r="N2770"/>
      <c r="O2770">
        <v>2.27</v>
      </c>
      <c r="P2770">
        <v>0.0</v>
      </c>
      <c r="Q2770">
        <v>14.9</v>
      </c>
      <c r="R2770"/>
      <c r="S2770"/>
      <c r="T2770"/>
      <c r="U2770"/>
      <c r="V2770"/>
      <c r="W2770">
        <v>18</v>
      </c>
    </row>
    <row r="2771" spans="1:23">
      <c r="A2771"/>
      <c r="B2771" t="s">
        <v>74</v>
      </c>
      <c r="C2771" t="s">
        <v>74</v>
      </c>
      <c r="D2771" t="s">
        <v>33</v>
      </c>
      <c r="E2771" t="s">
        <v>34</v>
      </c>
      <c r="F2771" t="str">
        <f>"0003074"</f>
        <v>0003074</v>
      </c>
      <c r="G2771">
        <v>1</v>
      </c>
      <c r="H2771" t="str">
        <f>"00000000"</f>
        <v>00000000</v>
      </c>
      <c r="I2771" t="s">
        <v>35</v>
      </c>
      <c r="J2771"/>
      <c r="K2771">
        <v>32.84</v>
      </c>
      <c r="L2771">
        <v>0.0</v>
      </c>
      <c r="M2771"/>
      <c r="N2771"/>
      <c r="O2771">
        <v>5.91</v>
      </c>
      <c r="P2771">
        <v>0.2</v>
      </c>
      <c r="Q2771">
        <v>38.95</v>
      </c>
      <c r="R2771"/>
      <c r="S2771"/>
      <c r="T2771"/>
      <c r="U2771"/>
      <c r="V2771"/>
      <c r="W2771">
        <v>18</v>
      </c>
    </row>
    <row r="2772" spans="1:23">
      <c r="A2772"/>
      <c r="B2772" t="s">
        <v>74</v>
      </c>
      <c r="C2772" t="s">
        <v>74</v>
      </c>
      <c r="D2772" t="s">
        <v>33</v>
      </c>
      <c r="E2772" t="s">
        <v>34</v>
      </c>
      <c r="F2772" t="str">
        <f>"0003075"</f>
        <v>0003075</v>
      </c>
      <c r="G2772">
        <v>1</v>
      </c>
      <c r="H2772" t="str">
        <f>"00000000"</f>
        <v>00000000</v>
      </c>
      <c r="I2772" t="s">
        <v>35</v>
      </c>
      <c r="J2772"/>
      <c r="K2772">
        <v>4.69</v>
      </c>
      <c r="L2772">
        <v>0.0</v>
      </c>
      <c r="M2772"/>
      <c r="N2772"/>
      <c r="O2772">
        <v>0.84</v>
      </c>
      <c r="P2772">
        <v>0.0</v>
      </c>
      <c r="Q2772">
        <v>5.54</v>
      </c>
      <c r="R2772"/>
      <c r="S2772"/>
      <c r="T2772"/>
      <c r="U2772"/>
      <c r="V2772"/>
      <c r="W2772">
        <v>18</v>
      </c>
    </row>
    <row r="2773" spans="1:23">
      <c r="A2773"/>
      <c r="B2773" t="s">
        <v>74</v>
      </c>
      <c r="C2773" t="s">
        <v>74</v>
      </c>
      <c r="D2773" t="s">
        <v>33</v>
      </c>
      <c r="E2773" t="s">
        <v>34</v>
      </c>
      <c r="F2773" t="str">
        <f>"0003076"</f>
        <v>0003076</v>
      </c>
      <c r="G2773">
        <v>1</v>
      </c>
      <c r="H2773" t="str">
        <f>"00000000"</f>
        <v>00000000</v>
      </c>
      <c r="I2773" t="s">
        <v>35</v>
      </c>
      <c r="J2773"/>
      <c r="K2773">
        <v>5.08</v>
      </c>
      <c r="L2773">
        <v>0.0</v>
      </c>
      <c r="M2773"/>
      <c r="N2773"/>
      <c r="O2773">
        <v>0.92</v>
      </c>
      <c r="P2773">
        <v>0.0</v>
      </c>
      <c r="Q2773">
        <v>6.0</v>
      </c>
      <c r="R2773"/>
      <c r="S2773"/>
      <c r="T2773"/>
      <c r="U2773"/>
      <c r="V2773"/>
      <c r="W2773">
        <v>18</v>
      </c>
    </row>
    <row r="2774" spans="1:23">
      <c r="A2774"/>
      <c r="B2774" t="s">
        <v>74</v>
      </c>
      <c r="C2774" t="s">
        <v>74</v>
      </c>
      <c r="D2774" t="s">
        <v>33</v>
      </c>
      <c r="E2774" t="s">
        <v>34</v>
      </c>
      <c r="F2774" t="str">
        <f>"0003077"</f>
        <v>0003077</v>
      </c>
      <c r="G2774">
        <v>1</v>
      </c>
      <c r="H2774" t="str">
        <f>"00000000"</f>
        <v>00000000</v>
      </c>
      <c r="I2774" t="s">
        <v>35</v>
      </c>
      <c r="J2774"/>
      <c r="K2774">
        <v>0.02</v>
      </c>
      <c r="L2774">
        <v>0.0</v>
      </c>
      <c r="M2774"/>
      <c r="N2774"/>
      <c r="O2774">
        <v>0.0</v>
      </c>
      <c r="P2774">
        <v>0.2</v>
      </c>
      <c r="Q2774">
        <v>0.22</v>
      </c>
      <c r="R2774"/>
      <c r="S2774"/>
      <c r="T2774"/>
      <c r="U2774"/>
      <c r="V2774"/>
      <c r="W2774">
        <v>18</v>
      </c>
    </row>
    <row r="2775" spans="1:23">
      <c r="A2775"/>
      <c r="B2775" t="s">
        <v>74</v>
      </c>
      <c r="C2775" t="s">
        <v>74</v>
      </c>
      <c r="D2775" t="s">
        <v>33</v>
      </c>
      <c r="E2775" t="s">
        <v>34</v>
      </c>
      <c r="F2775" t="str">
        <f>"0003078"</f>
        <v>0003078</v>
      </c>
      <c r="G2775">
        <v>1</v>
      </c>
      <c r="H2775" t="str">
        <f>"00000000"</f>
        <v>00000000</v>
      </c>
      <c r="I2775" t="s">
        <v>35</v>
      </c>
      <c r="J2775"/>
      <c r="K2775">
        <v>5.53</v>
      </c>
      <c r="L2775">
        <v>3.21</v>
      </c>
      <c r="M2775"/>
      <c r="N2775"/>
      <c r="O2775">
        <v>0.99</v>
      </c>
      <c r="P2775">
        <v>0.2</v>
      </c>
      <c r="Q2775">
        <v>9.93</v>
      </c>
      <c r="R2775"/>
      <c r="S2775"/>
      <c r="T2775"/>
      <c r="U2775"/>
      <c r="V2775"/>
      <c r="W2775">
        <v>18</v>
      </c>
    </row>
    <row r="2776" spans="1:23">
      <c r="A2776"/>
      <c r="B2776" t="s">
        <v>74</v>
      </c>
      <c r="C2776" t="s">
        <v>74</v>
      </c>
      <c r="D2776" t="s">
        <v>33</v>
      </c>
      <c r="E2776" t="s">
        <v>34</v>
      </c>
      <c r="F2776" t="str">
        <f>"0003079"</f>
        <v>0003079</v>
      </c>
      <c r="G2776">
        <v>1</v>
      </c>
      <c r="H2776" t="str">
        <f>"00000000"</f>
        <v>00000000</v>
      </c>
      <c r="I2776" t="s">
        <v>35</v>
      </c>
      <c r="J2776"/>
      <c r="K2776">
        <v>11.51</v>
      </c>
      <c r="L2776">
        <v>0.0</v>
      </c>
      <c r="M2776"/>
      <c r="N2776"/>
      <c r="O2776">
        <v>2.07</v>
      </c>
      <c r="P2776">
        <v>0.0</v>
      </c>
      <c r="Q2776">
        <v>13.58</v>
      </c>
      <c r="R2776"/>
      <c r="S2776"/>
      <c r="T2776"/>
      <c r="U2776"/>
      <c r="V2776"/>
      <c r="W2776">
        <v>18</v>
      </c>
    </row>
    <row r="2777" spans="1:23">
      <c r="A2777"/>
      <c r="B2777" t="s">
        <v>74</v>
      </c>
      <c r="C2777" t="s">
        <v>74</v>
      </c>
      <c r="D2777" t="s">
        <v>33</v>
      </c>
      <c r="E2777" t="s">
        <v>34</v>
      </c>
      <c r="F2777" t="str">
        <f>"0003080"</f>
        <v>0003080</v>
      </c>
      <c r="G2777">
        <v>1</v>
      </c>
      <c r="H2777" t="str">
        <f>"00000000"</f>
        <v>00000000</v>
      </c>
      <c r="I2777" t="s">
        <v>35</v>
      </c>
      <c r="J2777"/>
      <c r="K2777">
        <v>60.56</v>
      </c>
      <c r="L2777">
        <v>7.17</v>
      </c>
      <c r="M2777"/>
      <c r="N2777"/>
      <c r="O2777">
        <v>10.9</v>
      </c>
      <c r="P2777">
        <v>0.4</v>
      </c>
      <c r="Q2777">
        <v>79.04</v>
      </c>
      <c r="R2777"/>
      <c r="S2777"/>
      <c r="T2777"/>
      <c r="U2777"/>
      <c r="V2777"/>
      <c r="W2777">
        <v>18</v>
      </c>
    </row>
    <row r="2778" spans="1:23">
      <c r="A2778"/>
      <c r="B2778" t="s">
        <v>74</v>
      </c>
      <c r="C2778" t="s">
        <v>74</v>
      </c>
      <c r="D2778" t="s">
        <v>33</v>
      </c>
      <c r="E2778" t="s">
        <v>34</v>
      </c>
      <c r="F2778" t="str">
        <f>"0003081"</f>
        <v>0003081</v>
      </c>
      <c r="G2778">
        <v>1</v>
      </c>
      <c r="H2778" t="str">
        <f>"00000000"</f>
        <v>00000000</v>
      </c>
      <c r="I2778" t="s">
        <v>35</v>
      </c>
      <c r="J2778"/>
      <c r="K2778">
        <v>0.02</v>
      </c>
      <c r="L2778">
        <v>0.0</v>
      </c>
      <c r="M2778"/>
      <c r="N2778"/>
      <c r="O2778">
        <v>0.0</v>
      </c>
      <c r="P2778">
        <v>0.2</v>
      </c>
      <c r="Q2778">
        <v>0.22</v>
      </c>
      <c r="R2778"/>
      <c r="S2778"/>
      <c r="T2778"/>
      <c r="U2778"/>
      <c r="V2778"/>
      <c r="W2778">
        <v>18</v>
      </c>
    </row>
    <row r="2779" spans="1:23">
      <c r="A2779"/>
      <c r="B2779" t="s">
        <v>74</v>
      </c>
      <c r="C2779" t="s">
        <v>74</v>
      </c>
      <c r="D2779" t="s">
        <v>33</v>
      </c>
      <c r="E2779" t="s">
        <v>34</v>
      </c>
      <c r="F2779" t="str">
        <f>"0003082"</f>
        <v>0003082</v>
      </c>
      <c r="G2779">
        <v>1</v>
      </c>
      <c r="H2779" t="str">
        <f>"00000000"</f>
        <v>00000000</v>
      </c>
      <c r="I2779" t="s">
        <v>35</v>
      </c>
      <c r="J2779"/>
      <c r="K2779">
        <v>53.72</v>
      </c>
      <c r="L2779">
        <v>0.0</v>
      </c>
      <c r="M2779"/>
      <c r="N2779"/>
      <c r="O2779">
        <v>9.67</v>
      </c>
      <c r="P2779">
        <v>0.0</v>
      </c>
      <c r="Q2779">
        <v>63.39</v>
      </c>
      <c r="R2779"/>
      <c r="S2779"/>
      <c r="T2779"/>
      <c r="U2779"/>
      <c r="V2779"/>
      <c r="W2779">
        <v>18</v>
      </c>
    </row>
    <row r="2780" spans="1:23">
      <c r="A2780"/>
      <c r="B2780" t="s">
        <v>74</v>
      </c>
      <c r="C2780" t="s">
        <v>74</v>
      </c>
      <c r="D2780" t="s">
        <v>33</v>
      </c>
      <c r="E2780" t="s">
        <v>34</v>
      </c>
      <c r="F2780" t="str">
        <f>"0003083"</f>
        <v>0003083</v>
      </c>
      <c r="G2780">
        <v>1</v>
      </c>
      <c r="H2780" t="str">
        <f>"00000000"</f>
        <v>00000000</v>
      </c>
      <c r="I2780" t="s">
        <v>35</v>
      </c>
      <c r="J2780"/>
      <c r="K2780">
        <v>37.93</v>
      </c>
      <c r="L2780">
        <v>5.42</v>
      </c>
      <c r="M2780"/>
      <c r="N2780"/>
      <c r="O2780">
        <v>6.83</v>
      </c>
      <c r="P2780">
        <v>0.0</v>
      </c>
      <c r="Q2780">
        <v>50.18</v>
      </c>
      <c r="R2780"/>
      <c r="S2780"/>
      <c r="T2780"/>
      <c r="U2780"/>
      <c r="V2780"/>
      <c r="W2780">
        <v>18</v>
      </c>
    </row>
    <row r="2781" spans="1:23">
      <c r="A2781"/>
      <c r="B2781" t="s">
        <v>74</v>
      </c>
      <c r="C2781" t="s">
        <v>74</v>
      </c>
      <c r="D2781" t="s">
        <v>33</v>
      </c>
      <c r="E2781" t="s">
        <v>34</v>
      </c>
      <c r="F2781" t="str">
        <f>"0003084"</f>
        <v>0003084</v>
      </c>
      <c r="G2781">
        <v>1</v>
      </c>
      <c r="H2781" t="str">
        <f>"00000000"</f>
        <v>00000000</v>
      </c>
      <c r="I2781" t="s">
        <v>35</v>
      </c>
      <c r="J2781"/>
      <c r="K2781">
        <v>0.02</v>
      </c>
      <c r="L2781">
        <v>0.0</v>
      </c>
      <c r="M2781"/>
      <c r="N2781"/>
      <c r="O2781">
        <v>0.0</v>
      </c>
      <c r="P2781">
        <v>0.2</v>
      </c>
      <c r="Q2781">
        <v>0.22</v>
      </c>
      <c r="R2781"/>
      <c r="S2781"/>
      <c r="T2781"/>
      <c r="U2781"/>
      <c r="V2781"/>
      <c r="W2781">
        <v>18</v>
      </c>
    </row>
    <row r="2782" spans="1:23">
      <c r="A2782"/>
      <c r="B2782" t="s">
        <v>74</v>
      </c>
      <c r="C2782" t="s">
        <v>74</v>
      </c>
      <c r="D2782" t="s">
        <v>33</v>
      </c>
      <c r="E2782" t="s">
        <v>34</v>
      </c>
      <c r="F2782" t="str">
        <f>"0003085"</f>
        <v>0003085</v>
      </c>
      <c r="G2782">
        <v>1</v>
      </c>
      <c r="H2782" t="str">
        <f>"00000000"</f>
        <v>00000000</v>
      </c>
      <c r="I2782" t="s">
        <v>35</v>
      </c>
      <c r="J2782"/>
      <c r="K2782">
        <v>20.0</v>
      </c>
      <c r="L2782">
        <v>0.0</v>
      </c>
      <c r="M2782"/>
      <c r="N2782"/>
      <c r="O2782">
        <v>3.6</v>
      </c>
      <c r="P2782">
        <v>0.0</v>
      </c>
      <c r="Q2782">
        <v>23.6</v>
      </c>
      <c r="R2782"/>
      <c r="S2782"/>
      <c r="T2782"/>
      <c r="U2782"/>
      <c r="V2782"/>
      <c r="W2782">
        <v>18</v>
      </c>
    </row>
    <row r="2783" spans="1:23">
      <c r="A2783"/>
      <c r="B2783" t="s">
        <v>74</v>
      </c>
      <c r="C2783" t="s">
        <v>74</v>
      </c>
      <c r="D2783" t="s">
        <v>33</v>
      </c>
      <c r="E2783" t="s">
        <v>34</v>
      </c>
      <c r="F2783" t="str">
        <f>"0003086"</f>
        <v>0003086</v>
      </c>
      <c r="G2783">
        <v>1</v>
      </c>
      <c r="H2783" t="str">
        <f>"00000000"</f>
        <v>00000000</v>
      </c>
      <c r="I2783" t="s">
        <v>35</v>
      </c>
      <c r="J2783"/>
      <c r="K2783">
        <v>0.02</v>
      </c>
      <c r="L2783">
        <v>0.0</v>
      </c>
      <c r="M2783"/>
      <c r="N2783"/>
      <c r="O2783">
        <v>0.0</v>
      </c>
      <c r="P2783">
        <v>0.2</v>
      </c>
      <c r="Q2783">
        <v>0.22</v>
      </c>
      <c r="R2783"/>
      <c r="S2783"/>
      <c r="T2783"/>
      <c r="U2783"/>
      <c r="V2783"/>
      <c r="W2783">
        <v>18</v>
      </c>
    </row>
    <row r="2784" spans="1:23">
      <c r="A2784"/>
      <c r="B2784" t="s">
        <v>74</v>
      </c>
      <c r="C2784" t="s">
        <v>74</v>
      </c>
      <c r="D2784" t="s">
        <v>33</v>
      </c>
      <c r="E2784" t="s">
        <v>34</v>
      </c>
      <c r="F2784" t="str">
        <f>"0003087"</f>
        <v>0003087</v>
      </c>
      <c r="G2784">
        <v>1</v>
      </c>
      <c r="H2784" t="str">
        <f>"00000000"</f>
        <v>00000000</v>
      </c>
      <c r="I2784" t="s">
        <v>35</v>
      </c>
      <c r="J2784"/>
      <c r="K2784">
        <v>4.61</v>
      </c>
      <c r="L2784">
        <v>0.0</v>
      </c>
      <c r="M2784"/>
      <c r="N2784"/>
      <c r="O2784">
        <v>0.83</v>
      </c>
      <c r="P2784">
        <v>0.0</v>
      </c>
      <c r="Q2784">
        <v>5.44</v>
      </c>
      <c r="R2784"/>
      <c r="S2784"/>
      <c r="T2784"/>
      <c r="U2784"/>
      <c r="V2784"/>
      <c r="W2784">
        <v>18</v>
      </c>
    </row>
    <row r="2785" spans="1:23">
      <c r="A2785"/>
      <c r="B2785" t="s">
        <v>74</v>
      </c>
      <c r="C2785" t="s">
        <v>74</v>
      </c>
      <c r="D2785" t="s">
        <v>33</v>
      </c>
      <c r="E2785" t="s">
        <v>34</v>
      </c>
      <c r="F2785" t="str">
        <f>"0003088"</f>
        <v>0003088</v>
      </c>
      <c r="G2785">
        <v>1</v>
      </c>
      <c r="H2785" t="str">
        <f>"00000000"</f>
        <v>00000000</v>
      </c>
      <c r="I2785" t="s">
        <v>35</v>
      </c>
      <c r="J2785"/>
      <c r="K2785">
        <v>51.66</v>
      </c>
      <c r="L2785">
        <v>7.59</v>
      </c>
      <c r="M2785"/>
      <c r="N2785"/>
      <c r="O2785">
        <v>9.3</v>
      </c>
      <c r="P2785">
        <v>0.2</v>
      </c>
      <c r="Q2785">
        <v>68.75</v>
      </c>
      <c r="R2785"/>
      <c r="S2785"/>
      <c r="T2785"/>
      <c r="U2785"/>
      <c r="V2785"/>
      <c r="W2785">
        <v>18</v>
      </c>
    </row>
    <row r="2786" spans="1:23">
      <c r="A2786"/>
      <c r="B2786" t="s">
        <v>74</v>
      </c>
      <c r="C2786" t="s">
        <v>74</v>
      </c>
      <c r="D2786" t="s">
        <v>33</v>
      </c>
      <c r="E2786" t="s">
        <v>34</v>
      </c>
      <c r="F2786" t="str">
        <f>"0003089"</f>
        <v>0003089</v>
      </c>
      <c r="G2786">
        <v>1</v>
      </c>
      <c r="H2786" t="str">
        <f>"00000000"</f>
        <v>00000000</v>
      </c>
      <c r="I2786" t="s">
        <v>35</v>
      </c>
      <c r="J2786"/>
      <c r="K2786">
        <v>5.08</v>
      </c>
      <c r="L2786">
        <v>0.0</v>
      </c>
      <c r="M2786"/>
      <c r="N2786"/>
      <c r="O2786">
        <v>0.92</v>
      </c>
      <c r="P2786">
        <v>0.0</v>
      </c>
      <c r="Q2786">
        <v>6.0</v>
      </c>
      <c r="R2786"/>
      <c r="S2786"/>
      <c r="T2786"/>
      <c r="U2786"/>
      <c r="V2786"/>
      <c r="W2786">
        <v>18</v>
      </c>
    </row>
    <row r="2787" spans="1:23">
      <c r="A2787"/>
      <c r="B2787" t="s">
        <v>74</v>
      </c>
      <c r="C2787" t="s">
        <v>74</v>
      </c>
      <c r="D2787" t="s">
        <v>33</v>
      </c>
      <c r="E2787" t="s">
        <v>34</v>
      </c>
      <c r="F2787" t="str">
        <f>"0003090"</f>
        <v>0003090</v>
      </c>
      <c r="G2787">
        <v>1</v>
      </c>
      <c r="H2787" t="str">
        <f>"00000000"</f>
        <v>00000000</v>
      </c>
      <c r="I2787" t="s">
        <v>35</v>
      </c>
      <c r="J2787"/>
      <c r="K2787">
        <v>9.32</v>
      </c>
      <c r="L2787">
        <v>0.0</v>
      </c>
      <c r="M2787"/>
      <c r="N2787"/>
      <c r="O2787">
        <v>1.68</v>
      </c>
      <c r="P2787">
        <v>0.0</v>
      </c>
      <c r="Q2787">
        <v>11.0</v>
      </c>
      <c r="R2787"/>
      <c r="S2787"/>
      <c r="T2787"/>
      <c r="U2787"/>
      <c r="V2787"/>
      <c r="W2787">
        <v>18</v>
      </c>
    </row>
    <row r="2788" spans="1:23">
      <c r="A2788"/>
      <c r="B2788" t="s">
        <v>74</v>
      </c>
      <c r="C2788" t="s">
        <v>74</v>
      </c>
      <c r="D2788" t="s">
        <v>33</v>
      </c>
      <c r="E2788" t="s">
        <v>34</v>
      </c>
      <c r="F2788" t="str">
        <f>"0003091"</f>
        <v>0003091</v>
      </c>
      <c r="G2788">
        <v>1</v>
      </c>
      <c r="H2788" t="str">
        <f>"00000000"</f>
        <v>00000000</v>
      </c>
      <c r="I2788" t="s">
        <v>35</v>
      </c>
      <c r="J2788"/>
      <c r="K2788">
        <v>22.33</v>
      </c>
      <c r="L2788">
        <v>0.0</v>
      </c>
      <c r="M2788"/>
      <c r="N2788"/>
      <c r="O2788">
        <v>4.02</v>
      </c>
      <c r="P2788">
        <v>0.2</v>
      </c>
      <c r="Q2788">
        <v>26.54</v>
      </c>
      <c r="R2788"/>
      <c r="S2788"/>
      <c r="T2788"/>
      <c r="U2788"/>
      <c r="V2788"/>
      <c r="W2788">
        <v>18</v>
      </c>
    </row>
    <row r="2789" spans="1:23">
      <c r="A2789"/>
      <c r="B2789" t="s">
        <v>74</v>
      </c>
      <c r="C2789" t="s">
        <v>74</v>
      </c>
      <c r="D2789" t="s">
        <v>33</v>
      </c>
      <c r="E2789" t="s">
        <v>34</v>
      </c>
      <c r="F2789" t="str">
        <f>"0003092"</f>
        <v>0003092</v>
      </c>
      <c r="G2789">
        <v>1</v>
      </c>
      <c r="H2789" t="str">
        <f>"00000000"</f>
        <v>00000000</v>
      </c>
      <c r="I2789" t="s">
        <v>35</v>
      </c>
      <c r="J2789"/>
      <c r="K2789">
        <v>37.22</v>
      </c>
      <c r="L2789">
        <v>0.0</v>
      </c>
      <c r="M2789"/>
      <c r="N2789"/>
      <c r="O2789">
        <v>6.7</v>
      </c>
      <c r="P2789">
        <v>0.2</v>
      </c>
      <c r="Q2789">
        <v>44.12</v>
      </c>
      <c r="R2789"/>
      <c r="S2789"/>
      <c r="T2789"/>
      <c r="U2789"/>
      <c r="V2789"/>
      <c r="W2789">
        <v>18</v>
      </c>
    </row>
    <row r="2790" spans="1:23">
      <c r="A2790"/>
      <c r="B2790" t="s">
        <v>74</v>
      </c>
      <c r="C2790" t="s">
        <v>74</v>
      </c>
      <c r="D2790" t="s">
        <v>33</v>
      </c>
      <c r="E2790" t="s">
        <v>34</v>
      </c>
      <c r="F2790" t="str">
        <f>"0003093"</f>
        <v>0003093</v>
      </c>
      <c r="G2790">
        <v>1</v>
      </c>
      <c r="H2790" t="str">
        <f>"00000000"</f>
        <v>00000000</v>
      </c>
      <c r="I2790" t="s">
        <v>35</v>
      </c>
      <c r="J2790"/>
      <c r="K2790">
        <v>2.54</v>
      </c>
      <c r="L2790">
        <v>0.0</v>
      </c>
      <c r="M2790"/>
      <c r="N2790"/>
      <c r="O2790">
        <v>0.46</v>
      </c>
      <c r="P2790">
        <v>0.0</v>
      </c>
      <c r="Q2790">
        <v>3.0</v>
      </c>
      <c r="R2790"/>
      <c r="S2790"/>
      <c r="T2790"/>
      <c r="U2790"/>
      <c r="V2790"/>
      <c r="W2790">
        <v>18</v>
      </c>
    </row>
    <row r="2791" spans="1:23">
      <c r="A2791"/>
      <c r="B2791" t="s">
        <v>74</v>
      </c>
      <c r="C2791" t="s">
        <v>74</v>
      </c>
      <c r="D2791" t="s">
        <v>33</v>
      </c>
      <c r="E2791" t="s">
        <v>34</v>
      </c>
      <c r="F2791" t="str">
        <f>"0003094"</f>
        <v>0003094</v>
      </c>
      <c r="G2791">
        <v>1</v>
      </c>
      <c r="H2791" t="str">
        <f>"00000000"</f>
        <v>00000000</v>
      </c>
      <c r="I2791" t="s">
        <v>35</v>
      </c>
      <c r="J2791"/>
      <c r="K2791">
        <v>6.44</v>
      </c>
      <c r="L2791">
        <v>0.0</v>
      </c>
      <c r="M2791"/>
      <c r="N2791"/>
      <c r="O2791">
        <v>1.16</v>
      </c>
      <c r="P2791">
        <v>0.0</v>
      </c>
      <c r="Q2791">
        <v>7.6</v>
      </c>
      <c r="R2791"/>
      <c r="S2791"/>
      <c r="T2791"/>
      <c r="U2791"/>
      <c r="V2791"/>
      <c r="W2791">
        <v>18</v>
      </c>
    </row>
    <row r="2792" spans="1:23">
      <c r="A2792"/>
      <c r="B2792" t="s">
        <v>74</v>
      </c>
      <c r="C2792" t="s">
        <v>74</v>
      </c>
      <c r="D2792" t="s">
        <v>33</v>
      </c>
      <c r="E2792" t="s">
        <v>34</v>
      </c>
      <c r="F2792" t="str">
        <f>"0003095"</f>
        <v>0003095</v>
      </c>
      <c r="G2792">
        <v>1</v>
      </c>
      <c r="H2792" t="str">
        <f>"00000000"</f>
        <v>00000000</v>
      </c>
      <c r="I2792" t="s">
        <v>35</v>
      </c>
      <c r="J2792"/>
      <c r="K2792">
        <v>2.37</v>
      </c>
      <c r="L2792">
        <v>0.0</v>
      </c>
      <c r="M2792"/>
      <c r="N2792"/>
      <c r="O2792">
        <v>0.43</v>
      </c>
      <c r="P2792">
        <v>0.0</v>
      </c>
      <c r="Q2792">
        <v>2.8</v>
      </c>
      <c r="R2792"/>
      <c r="S2792"/>
      <c r="T2792"/>
      <c r="U2792"/>
      <c r="V2792"/>
      <c r="W2792">
        <v>18</v>
      </c>
    </row>
    <row r="2793" spans="1:23">
      <c r="A2793"/>
      <c r="B2793" t="s">
        <v>74</v>
      </c>
      <c r="C2793" t="s">
        <v>74</v>
      </c>
      <c r="D2793" t="s">
        <v>36</v>
      </c>
      <c r="E2793" t="s">
        <v>37</v>
      </c>
      <c r="F2793" t="str">
        <f>"0000042"</f>
        <v>0000042</v>
      </c>
      <c r="G2793">
        <v>6</v>
      </c>
      <c r="H2793" t="str">
        <f>"20507468102"</f>
        <v>20507468102</v>
      </c>
      <c r="I2793" t="s">
        <v>77</v>
      </c>
      <c r="J2793"/>
      <c r="K2793">
        <v>2.54</v>
      </c>
      <c r="L2793">
        <v>0.0</v>
      </c>
      <c r="M2793"/>
      <c r="N2793"/>
      <c r="O2793">
        <v>0.46</v>
      </c>
      <c r="P2793">
        <v>0.0</v>
      </c>
      <c r="Q2793">
        <v>3.0</v>
      </c>
      <c r="R2793"/>
      <c r="S2793"/>
      <c r="T2793"/>
      <c r="U2793"/>
      <c r="V2793"/>
      <c r="W2793">
        <v>18</v>
      </c>
    </row>
    <row r="2794" spans="1:23">
      <c r="A2794"/>
      <c r="B2794" t="s">
        <v>74</v>
      </c>
      <c r="C2794" t="s">
        <v>74</v>
      </c>
      <c r="D2794" t="s">
        <v>33</v>
      </c>
      <c r="E2794" t="s">
        <v>34</v>
      </c>
      <c r="F2794" t="str">
        <f>"0003096"</f>
        <v>0003096</v>
      </c>
      <c r="G2794">
        <v>1</v>
      </c>
      <c r="H2794" t="str">
        <f>"00000000"</f>
        <v>00000000</v>
      </c>
      <c r="I2794" t="s">
        <v>35</v>
      </c>
      <c r="J2794"/>
      <c r="K2794">
        <v>15.28</v>
      </c>
      <c r="L2794">
        <v>0.0</v>
      </c>
      <c r="M2794"/>
      <c r="N2794"/>
      <c r="O2794">
        <v>2.75</v>
      </c>
      <c r="P2794">
        <v>0.2</v>
      </c>
      <c r="Q2794">
        <v>18.23</v>
      </c>
      <c r="R2794"/>
      <c r="S2794"/>
      <c r="T2794"/>
      <c r="U2794"/>
      <c r="V2794"/>
      <c r="W2794">
        <v>18</v>
      </c>
    </row>
    <row r="2795" spans="1:23">
      <c r="A2795"/>
      <c r="B2795" t="s">
        <v>74</v>
      </c>
      <c r="C2795" t="s">
        <v>74</v>
      </c>
      <c r="D2795" t="s">
        <v>33</v>
      </c>
      <c r="E2795" t="s">
        <v>34</v>
      </c>
      <c r="F2795" t="str">
        <f>"0003097"</f>
        <v>0003097</v>
      </c>
      <c r="G2795">
        <v>1</v>
      </c>
      <c r="H2795" t="str">
        <f>"00000000"</f>
        <v>00000000</v>
      </c>
      <c r="I2795" t="s">
        <v>35</v>
      </c>
      <c r="J2795"/>
      <c r="K2795">
        <v>5.0</v>
      </c>
      <c r="L2795">
        <v>0.0</v>
      </c>
      <c r="M2795"/>
      <c r="N2795"/>
      <c r="O2795">
        <v>0.9</v>
      </c>
      <c r="P2795">
        <v>0.0</v>
      </c>
      <c r="Q2795">
        <v>5.9</v>
      </c>
      <c r="R2795"/>
      <c r="S2795"/>
      <c r="T2795"/>
      <c r="U2795"/>
      <c r="V2795"/>
      <c r="W2795">
        <v>18</v>
      </c>
    </row>
    <row r="2796" spans="1:23">
      <c r="A2796"/>
      <c r="B2796" t="s">
        <v>74</v>
      </c>
      <c r="C2796" t="s">
        <v>74</v>
      </c>
      <c r="D2796" t="s">
        <v>33</v>
      </c>
      <c r="E2796" t="s">
        <v>34</v>
      </c>
      <c r="F2796" t="str">
        <f>"0003098"</f>
        <v>0003098</v>
      </c>
      <c r="G2796">
        <v>1</v>
      </c>
      <c r="H2796" t="str">
        <f>"00000000"</f>
        <v>00000000</v>
      </c>
      <c r="I2796" t="s">
        <v>35</v>
      </c>
      <c r="J2796"/>
      <c r="K2796">
        <v>4.15</v>
      </c>
      <c r="L2796">
        <v>0.0</v>
      </c>
      <c r="M2796"/>
      <c r="N2796"/>
      <c r="O2796">
        <v>0.75</v>
      </c>
      <c r="P2796">
        <v>0.0</v>
      </c>
      <c r="Q2796">
        <v>4.9</v>
      </c>
      <c r="R2796"/>
      <c r="S2796"/>
      <c r="T2796"/>
      <c r="U2796"/>
      <c r="V2796"/>
      <c r="W2796">
        <v>18</v>
      </c>
    </row>
    <row r="2797" spans="1:23">
      <c r="A2797"/>
      <c r="B2797" t="s">
        <v>74</v>
      </c>
      <c r="C2797" t="s">
        <v>74</v>
      </c>
      <c r="D2797" t="s">
        <v>33</v>
      </c>
      <c r="E2797" t="s">
        <v>34</v>
      </c>
      <c r="F2797" t="str">
        <f>"0003099"</f>
        <v>0003099</v>
      </c>
      <c r="G2797">
        <v>1</v>
      </c>
      <c r="H2797" t="str">
        <f>"00000000"</f>
        <v>00000000</v>
      </c>
      <c r="I2797" t="s">
        <v>35</v>
      </c>
      <c r="J2797"/>
      <c r="K2797">
        <v>85.54</v>
      </c>
      <c r="L2797">
        <v>0.0</v>
      </c>
      <c r="M2797"/>
      <c r="N2797"/>
      <c r="O2797">
        <v>15.4</v>
      </c>
      <c r="P2797">
        <v>0.4</v>
      </c>
      <c r="Q2797">
        <v>101.34</v>
      </c>
      <c r="R2797"/>
      <c r="S2797"/>
      <c r="T2797"/>
      <c r="U2797"/>
      <c r="V2797"/>
      <c r="W2797">
        <v>18</v>
      </c>
    </row>
    <row r="2798" spans="1:23">
      <c r="A2798"/>
      <c r="B2798" t="s">
        <v>74</v>
      </c>
      <c r="C2798" t="s">
        <v>74</v>
      </c>
      <c r="D2798" t="s">
        <v>33</v>
      </c>
      <c r="E2798" t="s">
        <v>34</v>
      </c>
      <c r="F2798" t="str">
        <f>"0003100"</f>
        <v>0003100</v>
      </c>
      <c r="G2798">
        <v>1</v>
      </c>
      <c r="H2798" t="str">
        <f>"00000000"</f>
        <v>00000000</v>
      </c>
      <c r="I2798" t="s">
        <v>35</v>
      </c>
      <c r="J2798"/>
      <c r="K2798">
        <v>70.53</v>
      </c>
      <c r="L2798">
        <v>0.0</v>
      </c>
      <c r="M2798"/>
      <c r="N2798"/>
      <c r="O2798">
        <v>12.69</v>
      </c>
      <c r="P2798">
        <v>0.2</v>
      </c>
      <c r="Q2798">
        <v>83.42</v>
      </c>
      <c r="R2798"/>
      <c r="S2798"/>
      <c r="T2798"/>
      <c r="U2798"/>
      <c r="V2798"/>
      <c r="W2798">
        <v>18</v>
      </c>
    </row>
    <row r="2799" spans="1:23">
      <c r="A2799"/>
      <c r="B2799" t="s">
        <v>74</v>
      </c>
      <c r="C2799" t="s">
        <v>74</v>
      </c>
      <c r="D2799" t="s">
        <v>33</v>
      </c>
      <c r="E2799" t="s">
        <v>34</v>
      </c>
      <c r="F2799" t="str">
        <f>"0003101"</f>
        <v>0003101</v>
      </c>
      <c r="G2799">
        <v>1</v>
      </c>
      <c r="H2799" t="str">
        <f>"00000000"</f>
        <v>00000000</v>
      </c>
      <c r="I2799" t="s">
        <v>35</v>
      </c>
      <c r="J2799"/>
      <c r="K2799">
        <v>9.08</v>
      </c>
      <c r="L2799">
        <v>0.0</v>
      </c>
      <c r="M2799"/>
      <c r="N2799"/>
      <c r="O2799">
        <v>1.63</v>
      </c>
      <c r="P2799">
        <v>0.0</v>
      </c>
      <c r="Q2799">
        <v>10.72</v>
      </c>
      <c r="R2799"/>
      <c r="S2799"/>
      <c r="T2799"/>
      <c r="U2799"/>
      <c r="V2799"/>
      <c r="W2799">
        <v>18</v>
      </c>
    </row>
    <row r="2800" spans="1:23">
      <c r="A2800"/>
      <c r="B2800" t="s">
        <v>74</v>
      </c>
      <c r="C2800" t="s">
        <v>74</v>
      </c>
      <c r="D2800" t="s">
        <v>33</v>
      </c>
      <c r="E2800" t="s">
        <v>34</v>
      </c>
      <c r="F2800" t="str">
        <f>"0003102"</f>
        <v>0003102</v>
      </c>
      <c r="G2800">
        <v>1</v>
      </c>
      <c r="H2800" t="str">
        <f>"00000000"</f>
        <v>00000000</v>
      </c>
      <c r="I2800" t="s">
        <v>35</v>
      </c>
      <c r="J2800"/>
      <c r="K2800">
        <v>17.31</v>
      </c>
      <c r="L2800">
        <v>0.0</v>
      </c>
      <c r="M2800"/>
      <c r="N2800"/>
      <c r="O2800">
        <v>3.11</v>
      </c>
      <c r="P2800">
        <v>0.2</v>
      </c>
      <c r="Q2800">
        <v>20.62</v>
      </c>
      <c r="R2800"/>
      <c r="S2800"/>
      <c r="T2800"/>
      <c r="U2800"/>
      <c r="V2800"/>
      <c r="W2800">
        <v>18</v>
      </c>
    </row>
    <row r="2801" spans="1:23">
      <c r="A2801"/>
      <c r="B2801" t="s">
        <v>74</v>
      </c>
      <c r="C2801" t="s">
        <v>74</v>
      </c>
      <c r="D2801" t="s">
        <v>33</v>
      </c>
      <c r="E2801" t="s">
        <v>34</v>
      </c>
      <c r="F2801" t="str">
        <f>"0003103"</f>
        <v>0003103</v>
      </c>
      <c r="G2801">
        <v>1</v>
      </c>
      <c r="H2801" t="str">
        <f>"00000000"</f>
        <v>00000000</v>
      </c>
      <c r="I2801" t="s">
        <v>35</v>
      </c>
      <c r="J2801"/>
      <c r="K2801">
        <v>14.43</v>
      </c>
      <c r="L2801">
        <v>2.76</v>
      </c>
      <c r="M2801"/>
      <c r="N2801"/>
      <c r="O2801">
        <v>2.6</v>
      </c>
      <c r="P2801">
        <v>0.0</v>
      </c>
      <c r="Q2801">
        <v>19.79</v>
      </c>
      <c r="R2801"/>
      <c r="S2801"/>
      <c r="T2801"/>
      <c r="U2801"/>
      <c r="V2801"/>
      <c r="W2801">
        <v>18</v>
      </c>
    </row>
    <row r="2802" spans="1:23">
      <c r="A2802"/>
      <c r="B2802" t="s">
        <v>74</v>
      </c>
      <c r="C2802" t="s">
        <v>74</v>
      </c>
      <c r="D2802" t="s">
        <v>33</v>
      </c>
      <c r="E2802" t="s">
        <v>34</v>
      </c>
      <c r="F2802" t="str">
        <f>"0003104"</f>
        <v>0003104</v>
      </c>
      <c r="G2802">
        <v>1</v>
      </c>
      <c r="H2802" t="str">
        <f>"00000000"</f>
        <v>00000000</v>
      </c>
      <c r="I2802" t="s">
        <v>35</v>
      </c>
      <c r="J2802"/>
      <c r="K2802">
        <v>4.24</v>
      </c>
      <c r="L2802">
        <v>0.0</v>
      </c>
      <c r="M2802"/>
      <c r="N2802"/>
      <c r="O2802">
        <v>0.76</v>
      </c>
      <c r="P2802">
        <v>0.0</v>
      </c>
      <c r="Q2802">
        <v>5.0</v>
      </c>
      <c r="R2802"/>
      <c r="S2802"/>
      <c r="T2802"/>
      <c r="U2802"/>
      <c r="V2802"/>
      <c r="W2802">
        <v>18</v>
      </c>
    </row>
    <row r="2803" spans="1:23">
      <c r="A2803"/>
      <c r="B2803" t="s">
        <v>74</v>
      </c>
      <c r="C2803" t="s">
        <v>74</v>
      </c>
      <c r="D2803" t="s">
        <v>33</v>
      </c>
      <c r="E2803" t="s">
        <v>34</v>
      </c>
      <c r="F2803" t="str">
        <f>"0003105"</f>
        <v>0003105</v>
      </c>
      <c r="G2803">
        <v>1</v>
      </c>
      <c r="H2803" t="str">
        <f>"00000000"</f>
        <v>00000000</v>
      </c>
      <c r="I2803" t="s">
        <v>35</v>
      </c>
      <c r="J2803"/>
      <c r="K2803">
        <v>0.03</v>
      </c>
      <c r="L2803">
        <v>0.0</v>
      </c>
      <c r="M2803"/>
      <c r="N2803"/>
      <c r="O2803">
        <v>0.01</v>
      </c>
      <c r="P2803">
        <v>0.4</v>
      </c>
      <c r="Q2803">
        <v>0.44</v>
      </c>
      <c r="R2803"/>
      <c r="S2803"/>
      <c r="T2803"/>
      <c r="U2803"/>
      <c r="V2803"/>
      <c r="W2803">
        <v>18</v>
      </c>
    </row>
    <row r="2804" spans="1:23">
      <c r="A2804"/>
      <c r="B2804" t="s">
        <v>74</v>
      </c>
      <c r="C2804" t="s">
        <v>74</v>
      </c>
      <c r="D2804" t="s">
        <v>33</v>
      </c>
      <c r="E2804" t="s">
        <v>34</v>
      </c>
      <c r="F2804" t="str">
        <f>"0003106"</f>
        <v>0003106</v>
      </c>
      <c r="G2804">
        <v>1</v>
      </c>
      <c r="H2804" t="str">
        <f>"00000000"</f>
        <v>00000000</v>
      </c>
      <c r="I2804" t="s">
        <v>35</v>
      </c>
      <c r="J2804"/>
      <c r="K2804">
        <v>5.08</v>
      </c>
      <c r="L2804">
        <v>0.0</v>
      </c>
      <c r="M2804"/>
      <c r="N2804"/>
      <c r="O2804">
        <v>0.92</v>
      </c>
      <c r="P2804">
        <v>0.0</v>
      </c>
      <c r="Q2804">
        <v>6.0</v>
      </c>
      <c r="R2804"/>
      <c r="S2804"/>
      <c r="T2804"/>
      <c r="U2804"/>
      <c r="V2804"/>
      <c r="W2804">
        <v>18</v>
      </c>
    </row>
    <row r="2805" spans="1:23">
      <c r="A2805"/>
      <c r="B2805" t="s">
        <v>74</v>
      </c>
      <c r="C2805" t="s">
        <v>74</v>
      </c>
      <c r="D2805" t="s">
        <v>33</v>
      </c>
      <c r="E2805" t="s">
        <v>34</v>
      </c>
      <c r="F2805" t="str">
        <f>"0003107"</f>
        <v>0003107</v>
      </c>
      <c r="G2805">
        <v>1</v>
      </c>
      <c r="H2805" t="str">
        <f>"00000000"</f>
        <v>00000000</v>
      </c>
      <c r="I2805" t="s">
        <v>35</v>
      </c>
      <c r="J2805"/>
      <c r="K2805">
        <v>61.69</v>
      </c>
      <c r="L2805">
        <v>0.0</v>
      </c>
      <c r="M2805"/>
      <c r="N2805"/>
      <c r="O2805">
        <v>11.1</v>
      </c>
      <c r="P2805">
        <v>0.2</v>
      </c>
      <c r="Q2805">
        <v>72.99</v>
      </c>
      <c r="R2805"/>
      <c r="S2805"/>
      <c r="T2805"/>
      <c r="U2805"/>
      <c r="V2805"/>
      <c r="W2805">
        <v>18</v>
      </c>
    </row>
    <row r="2806" spans="1:23">
      <c r="A2806"/>
      <c r="B2806" t="s">
        <v>74</v>
      </c>
      <c r="C2806" t="s">
        <v>74</v>
      </c>
      <c r="D2806" t="s">
        <v>33</v>
      </c>
      <c r="E2806" t="s">
        <v>34</v>
      </c>
      <c r="F2806" t="str">
        <f>"0003108"</f>
        <v>0003108</v>
      </c>
      <c r="G2806">
        <v>1</v>
      </c>
      <c r="H2806" t="str">
        <f>"00000000"</f>
        <v>00000000</v>
      </c>
      <c r="I2806" t="s">
        <v>35</v>
      </c>
      <c r="J2806"/>
      <c r="K2806">
        <v>23.69</v>
      </c>
      <c r="L2806">
        <v>0.0</v>
      </c>
      <c r="M2806"/>
      <c r="N2806"/>
      <c r="O2806">
        <v>4.27</v>
      </c>
      <c r="P2806">
        <v>0.2</v>
      </c>
      <c r="Q2806">
        <v>28.16</v>
      </c>
      <c r="R2806"/>
      <c r="S2806"/>
      <c r="T2806"/>
      <c r="U2806"/>
      <c r="V2806"/>
      <c r="W2806">
        <v>18</v>
      </c>
    </row>
    <row r="2807" spans="1:23">
      <c r="A2807"/>
      <c r="B2807" t="s">
        <v>74</v>
      </c>
      <c r="C2807" t="s">
        <v>74</v>
      </c>
      <c r="D2807" t="s">
        <v>33</v>
      </c>
      <c r="E2807" t="s">
        <v>34</v>
      </c>
      <c r="F2807" t="str">
        <f>"0003109"</f>
        <v>0003109</v>
      </c>
      <c r="G2807">
        <v>1</v>
      </c>
      <c r="H2807" t="str">
        <f>"00000000"</f>
        <v>00000000</v>
      </c>
      <c r="I2807" t="s">
        <v>35</v>
      </c>
      <c r="J2807"/>
      <c r="K2807">
        <v>25.1</v>
      </c>
      <c r="L2807">
        <v>0.0</v>
      </c>
      <c r="M2807"/>
      <c r="N2807"/>
      <c r="O2807">
        <v>4.52</v>
      </c>
      <c r="P2807">
        <v>0.2</v>
      </c>
      <c r="Q2807">
        <v>29.82</v>
      </c>
      <c r="R2807"/>
      <c r="S2807"/>
      <c r="T2807"/>
      <c r="U2807"/>
      <c r="V2807"/>
      <c r="W2807">
        <v>18</v>
      </c>
    </row>
    <row r="2808" spans="1:23">
      <c r="A2808"/>
      <c r="B2808" t="s">
        <v>74</v>
      </c>
      <c r="C2808" t="s">
        <v>74</v>
      </c>
      <c r="D2808" t="s">
        <v>33</v>
      </c>
      <c r="E2808" t="s">
        <v>34</v>
      </c>
      <c r="F2808" t="str">
        <f>"0003110"</f>
        <v>0003110</v>
      </c>
      <c r="G2808">
        <v>1</v>
      </c>
      <c r="H2808" t="str">
        <f>"00000000"</f>
        <v>00000000</v>
      </c>
      <c r="I2808" t="s">
        <v>35</v>
      </c>
      <c r="J2808"/>
      <c r="K2808">
        <v>5.17</v>
      </c>
      <c r="L2808">
        <v>0.0</v>
      </c>
      <c r="M2808"/>
      <c r="N2808"/>
      <c r="O2808">
        <v>0.93</v>
      </c>
      <c r="P2808">
        <v>0.0</v>
      </c>
      <c r="Q2808">
        <v>6.1</v>
      </c>
      <c r="R2808"/>
      <c r="S2808"/>
      <c r="T2808"/>
      <c r="U2808"/>
      <c r="V2808"/>
      <c r="W2808">
        <v>18</v>
      </c>
    </row>
    <row r="2809" spans="1:23">
      <c r="A2809"/>
      <c r="B2809" t="s">
        <v>74</v>
      </c>
      <c r="C2809" t="s">
        <v>74</v>
      </c>
      <c r="D2809" t="s">
        <v>33</v>
      </c>
      <c r="E2809" t="s">
        <v>34</v>
      </c>
      <c r="F2809" t="str">
        <f>"0003111"</f>
        <v>0003111</v>
      </c>
      <c r="G2809">
        <v>1</v>
      </c>
      <c r="H2809" t="str">
        <f>"00000000"</f>
        <v>00000000</v>
      </c>
      <c r="I2809" t="s">
        <v>35</v>
      </c>
      <c r="J2809"/>
      <c r="K2809">
        <v>21.37</v>
      </c>
      <c r="L2809">
        <v>5.76</v>
      </c>
      <c r="M2809"/>
      <c r="N2809"/>
      <c r="O2809">
        <v>3.85</v>
      </c>
      <c r="P2809">
        <v>0.2</v>
      </c>
      <c r="Q2809">
        <v>31.18</v>
      </c>
      <c r="R2809"/>
      <c r="S2809"/>
      <c r="T2809"/>
      <c r="U2809"/>
      <c r="V2809"/>
      <c r="W2809">
        <v>18</v>
      </c>
    </row>
    <row r="2810" spans="1:23">
      <c r="A2810"/>
      <c r="B2810" t="s">
        <v>74</v>
      </c>
      <c r="C2810" t="s">
        <v>74</v>
      </c>
      <c r="D2810" t="s">
        <v>33</v>
      </c>
      <c r="E2810" t="s">
        <v>34</v>
      </c>
      <c r="F2810" t="str">
        <f>"0003112"</f>
        <v>0003112</v>
      </c>
      <c r="G2810">
        <v>1</v>
      </c>
      <c r="H2810" t="str">
        <f>"00000000"</f>
        <v>00000000</v>
      </c>
      <c r="I2810" t="s">
        <v>35</v>
      </c>
      <c r="J2810"/>
      <c r="K2810">
        <v>2.97</v>
      </c>
      <c r="L2810">
        <v>0.0</v>
      </c>
      <c r="M2810"/>
      <c r="N2810"/>
      <c r="O2810">
        <v>0.53</v>
      </c>
      <c r="P2810">
        <v>0.0</v>
      </c>
      <c r="Q2810">
        <v>3.5</v>
      </c>
      <c r="R2810"/>
      <c r="S2810"/>
      <c r="T2810"/>
      <c r="U2810"/>
      <c r="V2810"/>
      <c r="W2810">
        <v>18</v>
      </c>
    </row>
    <row r="2811" spans="1:23">
      <c r="A2811"/>
      <c r="B2811" t="s">
        <v>74</v>
      </c>
      <c r="C2811" t="s">
        <v>74</v>
      </c>
      <c r="D2811" t="s">
        <v>33</v>
      </c>
      <c r="E2811" t="s">
        <v>34</v>
      </c>
      <c r="F2811" t="str">
        <f>"0003113"</f>
        <v>0003113</v>
      </c>
      <c r="G2811">
        <v>1</v>
      </c>
      <c r="H2811" t="str">
        <f>"00000000"</f>
        <v>00000000</v>
      </c>
      <c r="I2811" t="s">
        <v>35</v>
      </c>
      <c r="J2811"/>
      <c r="K2811">
        <v>10.0</v>
      </c>
      <c r="L2811">
        <v>0.0</v>
      </c>
      <c r="M2811"/>
      <c r="N2811"/>
      <c r="O2811">
        <v>1.8</v>
      </c>
      <c r="P2811">
        <v>0.0</v>
      </c>
      <c r="Q2811">
        <v>11.8</v>
      </c>
      <c r="R2811"/>
      <c r="S2811"/>
      <c r="T2811"/>
      <c r="U2811"/>
      <c r="V2811"/>
      <c r="W2811">
        <v>18</v>
      </c>
    </row>
    <row r="2812" spans="1:23">
      <c r="A2812"/>
      <c r="B2812" t="s">
        <v>78</v>
      </c>
      <c r="C2812" t="s">
        <v>78</v>
      </c>
      <c r="D2812" t="s">
        <v>33</v>
      </c>
      <c r="E2812" t="s">
        <v>34</v>
      </c>
      <c r="F2812" t="str">
        <f>"0003114"</f>
        <v>0003114</v>
      </c>
      <c r="G2812">
        <v>1</v>
      </c>
      <c r="H2812" t="str">
        <f>"00000000"</f>
        <v>00000000</v>
      </c>
      <c r="I2812" t="s">
        <v>35</v>
      </c>
      <c r="J2812"/>
      <c r="K2812">
        <v>1.69</v>
      </c>
      <c r="L2812">
        <v>0.0</v>
      </c>
      <c r="M2812"/>
      <c r="N2812"/>
      <c r="O2812">
        <v>0.31</v>
      </c>
      <c r="P2812">
        <v>0.0</v>
      </c>
      <c r="Q2812">
        <v>2.0</v>
      </c>
      <c r="R2812"/>
      <c r="S2812"/>
      <c r="T2812"/>
      <c r="U2812"/>
      <c r="V2812"/>
      <c r="W2812">
        <v>18</v>
      </c>
    </row>
    <row r="2813" spans="1:23">
      <c r="A2813"/>
      <c r="B2813" t="s">
        <v>78</v>
      </c>
      <c r="C2813" t="s">
        <v>78</v>
      </c>
      <c r="D2813" t="s">
        <v>33</v>
      </c>
      <c r="E2813" t="s">
        <v>34</v>
      </c>
      <c r="F2813" t="str">
        <f>"0003115"</f>
        <v>0003115</v>
      </c>
      <c r="G2813">
        <v>1</v>
      </c>
      <c r="H2813" t="str">
        <f>"00000000"</f>
        <v>00000000</v>
      </c>
      <c r="I2813" t="s">
        <v>35</v>
      </c>
      <c r="J2813"/>
      <c r="K2813">
        <v>1.27</v>
      </c>
      <c r="L2813">
        <v>0.0</v>
      </c>
      <c r="M2813"/>
      <c r="N2813"/>
      <c r="O2813">
        <v>0.23</v>
      </c>
      <c r="P2813">
        <v>0.0</v>
      </c>
      <c r="Q2813">
        <v>1.5</v>
      </c>
      <c r="R2813"/>
      <c r="S2813"/>
      <c r="T2813"/>
      <c r="U2813"/>
      <c r="V2813"/>
      <c r="W2813">
        <v>18</v>
      </c>
    </row>
    <row r="2814" spans="1:23">
      <c r="A2814"/>
      <c r="B2814" t="s">
        <v>78</v>
      </c>
      <c r="C2814" t="s">
        <v>78</v>
      </c>
      <c r="D2814" t="s">
        <v>33</v>
      </c>
      <c r="E2814" t="s">
        <v>34</v>
      </c>
      <c r="F2814" t="str">
        <f>"0003116"</f>
        <v>0003116</v>
      </c>
      <c r="G2814">
        <v>1</v>
      </c>
      <c r="H2814" t="str">
        <f>"00000000"</f>
        <v>00000000</v>
      </c>
      <c r="I2814" t="s">
        <v>35</v>
      </c>
      <c r="J2814"/>
      <c r="K2814">
        <v>12.29</v>
      </c>
      <c r="L2814">
        <v>0.0</v>
      </c>
      <c r="M2814"/>
      <c r="N2814"/>
      <c r="O2814">
        <v>2.21</v>
      </c>
      <c r="P2814">
        <v>0.0</v>
      </c>
      <c r="Q2814">
        <v>14.5</v>
      </c>
      <c r="R2814"/>
      <c r="S2814"/>
      <c r="T2814"/>
      <c r="U2814"/>
      <c r="V2814"/>
      <c r="W2814">
        <v>18</v>
      </c>
    </row>
    <row r="2815" spans="1:23">
      <c r="A2815"/>
      <c r="B2815" t="s">
        <v>78</v>
      </c>
      <c r="C2815" t="s">
        <v>78</v>
      </c>
      <c r="D2815" t="s">
        <v>33</v>
      </c>
      <c r="E2815" t="s">
        <v>34</v>
      </c>
      <c r="F2815" t="str">
        <f>"0003117"</f>
        <v>0003117</v>
      </c>
      <c r="G2815">
        <v>1</v>
      </c>
      <c r="H2815" t="str">
        <f>"00000000"</f>
        <v>00000000</v>
      </c>
      <c r="I2815" t="s">
        <v>35</v>
      </c>
      <c r="J2815"/>
      <c r="K2815">
        <v>9.8</v>
      </c>
      <c r="L2815">
        <v>0.9</v>
      </c>
      <c r="M2815"/>
      <c r="N2815"/>
      <c r="O2815">
        <v>1.76</v>
      </c>
      <c r="P2815">
        <v>0.0</v>
      </c>
      <c r="Q2815">
        <v>12.46</v>
      </c>
      <c r="R2815"/>
      <c r="S2815"/>
      <c r="T2815"/>
      <c r="U2815"/>
      <c r="V2815"/>
      <c r="W2815">
        <v>18</v>
      </c>
    </row>
    <row r="2816" spans="1:23">
      <c r="A2816"/>
      <c r="B2816" t="s">
        <v>78</v>
      </c>
      <c r="C2816" t="s">
        <v>78</v>
      </c>
      <c r="D2816" t="s">
        <v>33</v>
      </c>
      <c r="E2816" t="s">
        <v>34</v>
      </c>
      <c r="F2816" t="str">
        <f>"0003118"</f>
        <v>0003118</v>
      </c>
      <c r="G2816">
        <v>1</v>
      </c>
      <c r="H2816" t="str">
        <f>"00000000"</f>
        <v>00000000</v>
      </c>
      <c r="I2816" t="s">
        <v>35</v>
      </c>
      <c r="J2816"/>
      <c r="K2816">
        <v>0.0</v>
      </c>
      <c r="L2816">
        <v>2.06</v>
      </c>
      <c r="M2816"/>
      <c r="N2816"/>
      <c r="O2816">
        <v>0.0</v>
      </c>
      <c r="P2816">
        <v>0.0</v>
      </c>
      <c r="Q2816">
        <v>2.06</v>
      </c>
      <c r="R2816"/>
      <c r="S2816"/>
      <c r="T2816"/>
      <c r="U2816"/>
      <c r="V2816"/>
      <c r="W2816">
        <v>18</v>
      </c>
    </row>
    <row r="2817" spans="1:23">
      <c r="A2817"/>
      <c r="B2817" t="s">
        <v>78</v>
      </c>
      <c r="C2817" t="s">
        <v>78</v>
      </c>
      <c r="D2817" t="s">
        <v>33</v>
      </c>
      <c r="E2817" t="s">
        <v>34</v>
      </c>
      <c r="F2817" t="str">
        <f>"0003119"</f>
        <v>0003119</v>
      </c>
      <c r="G2817">
        <v>1</v>
      </c>
      <c r="H2817" t="str">
        <f>"00000000"</f>
        <v>00000000</v>
      </c>
      <c r="I2817" t="s">
        <v>35</v>
      </c>
      <c r="J2817"/>
      <c r="K2817">
        <v>2.37</v>
      </c>
      <c r="L2817">
        <v>0.0</v>
      </c>
      <c r="M2817"/>
      <c r="N2817"/>
      <c r="O2817">
        <v>0.43</v>
      </c>
      <c r="P2817">
        <v>0.0</v>
      </c>
      <c r="Q2817">
        <v>2.8</v>
      </c>
      <c r="R2817"/>
      <c r="S2817"/>
      <c r="T2817"/>
      <c r="U2817"/>
      <c r="V2817"/>
      <c r="W2817">
        <v>18</v>
      </c>
    </row>
    <row r="2818" spans="1:23">
      <c r="A2818"/>
      <c r="B2818" t="s">
        <v>78</v>
      </c>
      <c r="C2818" t="s">
        <v>78</v>
      </c>
      <c r="D2818" t="s">
        <v>33</v>
      </c>
      <c r="E2818" t="s">
        <v>34</v>
      </c>
      <c r="F2818" t="str">
        <f>"0003120"</f>
        <v>0003120</v>
      </c>
      <c r="G2818">
        <v>1</v>
      </c>
      <c r="H2818" t="str">
        <f>"00000000"</f>
        <v>00000000</v>
      </c>
      <c r="I2818" t="s">
        <v>35</v>
      </c>
      <c r="J2818"/>
      <c r="K2818">
        <v>9.62</v>
      </c>
      <c r="L2818">
        <v>0.0</v>
      </c>
      <c r="M2818"/>
      <c r="N2818"/>
      <c r="O2818">
        <v>1.73</v>
      </c>
      <c r="P2818">
        <v>0.0</v>
      </c>
      <c r="Q2818">
        <v>11.35</v>
      </c>
      <c r="R2818"/>
      <c r="S2818"/>
      <c r="T2818"/>
      <c r="U2818"/>
      <c r="V2818"/>
      <c r="W2818">
        <v>18</v>
      </c>
    </row>
    <row r="2819" spans="1:23">
      <c r="A2819"/>
      <c r="B2819" t="s">
        <v>78</v>
      </c>
      <c r="C2819" t="s">
        <v>78</v>
      </c>
      <c r="D2819" t="s">
        <v>33</v>
      </c>
      <c r="E2819" t="s">
        <v>34</v>
      </c>
      <c r="F2819" t="str">
        <f>"0003121"</f>
        <v>0003121</v>
      </c>
      <c r="G2819">
        <v>1</v>
      </c>
      <c r="H2819" t="str">
        <f>"00000000"</f>
        <v>00000000</v>
      </c>
      <c r="I2819" t="s">
        <v>35</v>
      </c>
      <c r="J2819"/>
      <c r="K2819">
        <v>96.95</v>
      </c>
      <c r="L2819">
        <v>9.74</v>
      </c>
      <c r="M2819"/>
      <c r="N2819"/>
      <c r="O2819">
        <v>17.45</v>
      </c>
      <c r="P2819">
        <v>0.4</v>
      </c>
      <c r="Q2819">
        <v>124.54</v>
      </c>
      <c r="R2819"/>
      <c r="S2819"/>
      <c r="T2819"/>
      <c r="U2819"/>
      <c r="V2819"/>
      <c r="W2819">
        <v>18</v>
      </c>
    </row>
    <row r="2820" spans="1:23">
      <c r="A2820"/>
      <c r="B2820" t="s">
        <v>78</v>
      </c>
      <c r="C2820" t="s">
        <v>78</v>
      </c>
      <c r="D2820" t="s">
        <v>33</v>
      </c>
      <c r="E2820" t="s">
        <v>34</v>
      </c>
      <c r="F2820" t="str">
        <f>"0003122"</f>
        <v>0003122</v>
      </c>
      <c r="G2820">
        <v>1</v>
      </c>
      <c r="H2820" t="str">
        <f>"00000000"</f>
        <v>00000000</v>
      </c>
      <c r="I2820" t="s">
        <v>35</v>
      </c>
      <c r="J2820"/>
      <c r="K2820">
        <v>4.99</v>
      </c>
      <c r="L2820">
        <v>0.0</v>
      </c>
      <c r="M2820"/>
      <c r="N2820"/>
      <c r="O2820">
        <v>0.9</v>
      </c>
      <c r="P2820">
        <v>0.0</v>
      </c>
      <c r="Q2820">
        <v>5.89</v>
      </c>
      <c r="R2820"/>
      <c r="S2820"/>
      <c r="T2820"/>
      <c r="U2820"/>
      <c r="V2820"/>
      <c r="W2820">
        <v>18</v>
      </c>
    </row>
    <row r="2821" spans="1:23">
      <c r="A2821"/>
      <c r="B2821" t="s">
        <v>78</v>
      </c>
      <c r="C2821" t="s">
        <v>78</v>
      </c>
      <c r="D2821" t="s">
        <v>33</v>
      </c>
      <c r="E2821" t="s">
        <v>34</v>
      </c>
      <c r="F2821" t="str">
        <f>"0003123"</f>
        <v>0003123</v>
      </c>
      <c r="G2821">
        <v>1</v>
      </c>
      <c r="H2821" t="str">
        <f>"00000000"</f>
        <v>00000000</v>
      </c>
      <c r="I2821" t="s">
        <v>35</v>
      </c>
      <c r="J2821"/>
      <c r="K2821">
        <v>9.24</v>
      </c>
      <c r="L2821">
        <v>0.0</v>
      </c>
      <c r="M2821"/>
      <c r="N2821"/>
      <c r="O2821">
        <v>1.66</v>
      </c>
      <c r="P2821">
        <v>0.0</v>
      </c>
      <c r="Q2821">
        <v>10.9</v>
      </c>
      <c r="R2821"/>
      <c r="S2821"/>
      <c r="T2821"/>
      <c r="U2821"/>
      <c r="V2821"/>
      <c r="W2821">
        <v>18</v>
      </c>
    </row>
    <row r="2822" spans="1:23">
      <c r="A2822"/>
      <c r="B2822" t="s">
        <v>78</v>
      </c>
      <c r="C2822" t="s">
        <v>78</v>
      </c>
      <c r="D2822" t="s">
        <v>33</v>
      </c>
      <c r="E2822" t="s">
        <v>34</v>
      </c>
      <c r="F2822" t="str">
        <f>"0003124"</f>
        <v>0003124</v>
      </c>
      <c r="G2822">
        <v>1</v>
      </c>
      <c r="H2822" t="str">
        <f>"00000000"</f>
        <v>00000000</v>
      </c>
      <c r="I2822" t="s">
        <v>35</v>
      </c>
      <c r="J2822"/>
      <c r="K2822">
        <v>6.86</v>
      </c>
      <c r="L2822">
        <v>1.78</v>
      </c>
      <c r="M2822"/>
      <c r="N2822"/>
      <c r="O2822">
        <v>1.24</v>
      </c>
      <c r="P2822">
        <v>0.0</v>
      </c>
      <c r="Q2822">
        <v>9.88</v>
      </c>
      <c r="R2822"/>
      <c r="S2822"/>
      <c r="T2822"/>
      <c r="U2822"/>
      <c r="V2822"/>
      <c r="W2822">
        <v>18</v>
      </c>
    </row>
    <row r="2823" spans="1:23">
      <c r="A2823"/>
      <c r="B2823" t="s">
        <v>78</v>
      </c>
      <c r="C2823" t="s">
        <v>78</v>
      </c>
      <c r="D2823" t="s">
        <v>33</v>
      </c>
      <c r="E2823" t="s">
        <v>34</v>
      </c>
      <c r="F2823" t="str">
        <f>"0003125"</f>
        <v>0003125</v>
      </c>
      <c r="G2823">
        <v>1</v>
      </c>
      <c r="H2823" t="str">
        <f>"00000000"</f>
        <v>00000000</v>
      </c>
      <c r="I2823" t="s">
        <v>35</v>
      </c>
      <c r="J2823"/>
      <c r="K2823">
        <v>3.44</v>
      </c>
      <c r="L2823">
        <v>0.0</v>
      </c>
      <c r="M2823"/>
      <c r="N2823"/>
      <c r="O2823">
        <v>0.62</v>
      </c>
      <c r="P2823">
        <v>0.4</v>
      </c>
      <c r="Q2823">
        <v>4.46</v>
      </c>
      <c r="R2823"/>
      <c r="S2823"/>
      <c r="T2823"/>
      <c r="U2823"/>
      <c r="V2823"/>
      <c r="W2823">
        <v>18</v>
      </c>
    </row>
    <row r="2824" spans="1:23">
      <c r="A2824"/>
      <c r="B2824" t="s">
        <v>78</v>
      </c>
      <c r="C2824" t="s">
        <v>78</v>
      </c>
      <c r="D2824" t="s">
        <v>33</v>
      </c>
      <c r="E2824" t="s">
        <v>34</v>
      </c>
      <c r="F2824" t="str">
        <f>"0003126"</f>
        <v>0003126</v>
      </c>
      <c r="G2824">
        <v>1</v>
      </c>
      <c r="H2824" t="str">
        <f>"00000000"</f>
        <v>00000000</v>
      </c>
      <c r="I2824" t="s">
        <v>35</v>
      </c>
      <c r="J2824"/>
      <c r="K2824">
        <v>22.7</v>
      </c>
      <c r="L2824">
        <v>0.0</v>
      </c>
      <c r="M2824"/>
      <c r="N2824"/>
      <c r="O2824">
        <v>4.09</v>
      </c>
      <c r="P2824">
        <v>0.2</v>
      </c>
      <c r="Q2824">
        <v>26.99</v>
      </c>
      <c r="R2824"/>
      <c r="S2824"/>
      <c r="T2824"/>
      <c r="U2824"/>
      <c r="V2824"/>
      <c r="W2824">
        <v>18</v>
      </c>
    </row>
    <row r="2825" spans="1:23">
      <c r="A2825"/>
      <c r="B2825" t="s">
        <v>78</v>
      </c>
      <c r="C2825" t="s">
        <v>78</v>
      </c>
      <c r="D2825" t="s">
        <v>33</v>
      </c>
      <c r="E2825" t="s">
        <v>34</v>
      </c>
      <c r="F2825" t="str">
        <f>"0003127"</f>
        <v>0003127</v>
      </c>
      <c r="G2825">
        <v>1</v>
      </c>
      <c r="H2825" t="str">
        <f>"00000000"</f>
        <v>00000000</v>
      </c>
      <c r="I2825" t="s">
        <v>35</v>
      </c>
      <c r="J2825"/>
      <c r="K2825">
        <v>17.72</v>
      </c>
      <c r="L2825">
        <v>0.0</v>
      </c>
      <c r="M2825"/>
      <c r="N2825"/>
      <c r="O2825">
        <v>3.19</v>
      </c>
      <c r="P2825">
        <v>0.2</v>
      </c>
      <c r="Q2825">
        <v>21.11</v>
      </c>
      <c r="R2825"/>
      <c r="S2825"/>
      <c r="T2825"/>
      <c r="U2825"/>
      <c r="V2825"/>
      <c r="W2825">
        <v>18</v>
      </c>
    </row>
    <row r="2826" spans="1:23">
      <c r="A2826"/>
      <c r="B2826" t="s">
        <v>78</v>
      </c>
      <c r="C2826" t="s">
        <v>78</v>
      </c>
      <c r="D2826" t="s">
        <v>33</v>
      </c>
      <c r="E2826" t="s">
        <v>34</v>
      </c>
      <c r="F2826" t="str">
        <f>"0003128"</f>
        <v>0003128</v>
      </c>
      <c r="G2826">
        <v>1</v>
      </c>
      <c r="H2826" t="str">
        <f>"00000000"</f>
        <v>00000000</v>
      </c>
      <c r="I2826" t="s">
        <v>35</v>
      </c>
      <c r="J2826"/>
      <c r="K2826">
        <v>5.65</v>
      </c>
      <c r="L2826">
        <v>0.0</v>
      </c>
      <c r="M2826"/>
      <c r="N2826"/>
      <c r="O2826">
        <v>1.02</v>
      </c>
      <c r="P2826">
        <v>0.2</v>
      </c>
      <c r="Q2826">
        <v>6.87</v>
      </c>
      <c r="R2826"/>
      <c r="S2826"/>
      <c r="T2826"/>
      <c r="U2826"/>
      <c r="V2826"/>
      <c r="W2826">
        <v>18</v>
      </c>
    </row>
    <row r="2827" spans="1:23">
      <c r="A2827"/>
      <c r="B2827" t="s">
        <v>78</v>
      </c>
      <c r="C2827" t="s">
        <v>78</v>
      </c>
      <c r="D2827" t="s">
        <v>33</v>
      </c>
      <c r="E2827" t="s">
        <v>34</v>
      </c>
      <c r="F2827" t="str">
        <f>"0003129"</f>
        <v>0003129</v>
      </c>
      <c r="G2827">
        <v>1</v>
      </c>
      <c r="H2827" t="str">
        <f>"00000000"</f>
        <v>00000000</v>
      </c>
      <c r="I2827" t="s">
        <v>35</v>
      </c>
      <c r="J2827"/>
      <c r="K2827">
        <v>23.9</v>
      </c>
      <c r="L2827">
        <v>2.66</v>
      </c>
      <c r="M2827"/>
      <c r="N2827"/>
      <c r="O2827">
        <v>4.3</v>
      </c>
      <c r="P2827">
        <v>0.0</v>
      </c>
      <c r="Q2827">
        <v>30.86</v>
      </c>
      <c r="R2827"/>
      <c r="S2827"/>
      <c r="T2827"/>
      <c r="U2827"/>
      <c r="V2827"/>
      <c r="W2827">
        <v>18</v>
      </c>
    </row>
    <row r="2828" spans="1:23">
      <c r="A2828"/>
      <c r="B2828" t="s">
        <v>78</v>
      </c>
      <c r="C2828" t="s">
        <v>78</v>
      </c>
      <c r="D2828" t="s">
        <v>33</v>
      </c>
      <c r="E2828" t="s">
        <v>34</v>
      </c>
      <c r="F2828" t="str">
        <f>"0003130"</f>
        <v>0003130</v>
      </c>
      <c r="G2828">
        <v>1</v>
      </c>
      <c r="H2828" t="str">
        <f>"00000000"</f>
        <v>00000000</v>
      </c>
      <c r="I2828" t="s">
        <v>35</v>
      </c>
      <c r="J2828"/>
      <c r="K2828">
        <v>1.27</v>
      </c>
      <c r="L2828">
        <v>0.0</v>
      </c>
      <c r="M2828"/>
      <c r="N2828"/>
      <c r="O2828">
        <v>0.23</v>
      </c>
      <c r="P2828">
        <v>0.0</v>
      </c>
      <c r="Q2828">
        <v>1.5</v>
      </c>
      <c r="R2828"/>
      <c r="S2828"/>
      <c r="T2828"/>
      <c r="U2828"/>
      <c r="V2828"/>
      <c r="W2828">
        <v>18</v>
      </c>
    </row>
    <row r="2829" spans="1:23">
      <c r="A2829"/>
      <c r="B2829" t="s">
        <v>78</v>
      </c>
      <c r="C2829" t="s">
        <v>78</v>
      </c>
      <c r="D2829" t="s">
        <v>33</v>
      </c>
      <c r="E2829" t="s">
        <v>34</v>
      </c>
      <c r="F2829" t="str">
        <f>"0003131"</f>
        <v>0003131</v>
      </c>
      <c r="G2829">
        <v>1</v>
      </c>
      <c r="H2829" t="str">
        <f>"00000000"</f>
        <v>00000000</v>
      </c>
      <c r="I2829" t="s">
        <v>35</v>
      </c>
      <c r="J2829"/>
      <c r="K2829">
        <v>1.28</v>
      </c>
      <c r="L2829">
        <v>1.32</v>
      </c>
      <c r="M2829"/>
      <c r="N2829"/>
      <c r="O2829">
        <v>0.23</v>
      </c>
      <c r="P2829">
        <v>0.2</v>
      </c>
      <c r="Q2829">
        <v>3.04</v>
      </c>
      <c r="R2829"/>
      <c r="S2829"/>
      <c r="T2829"/>
      <c r="U2829"/>
      <c r="V2829"/>
      <c r="W2829">
        <v>18</v>
      </c>
    </row>
    <row r="2830" spans="1:23">
      <c r="A2830"/>
      <c r="B2830" t="s">
        <v>78</v>
      </c>
      <c r="C2830" t="s">
        <v>78</v>
      </c>
      <c r="D2830" t="s">
        <v>33</v>
      </c>
      <c r="E2830" t="s">
        <v>34</v>
      </c>
      <c r="F2830" t="str">
        <f>"0003132"</f>
        <v>0003132</v>
      </c>
      <c r="G2830">
        <v>1</v>
      </c>
      <c r="H2830" t="str">
        <f>"00000000"</f>
        <v>00000000</v>
      </c>
      <c r="I2830" t="s">
        <v>35</v>
      </c>
      <c r="J2830"/>
      <c r="K2830">
        <v>1.44</v>
      </c>
      <c r="L2830">
        <v>0.0</v>
      </c>
      <c r="M2830"/>
      <c r="N2830"/>
      <c r="O2830">
        <v>0.26</v>
      </c>
      <c r="P2830">
        <v>0.0</v>
      </c>
      <c r="Q2830">
        <v>1.7</v>
      </c>
      <c r="R2830"/>
      <c r="S2830"/>
      <c r="T2830"/>
      <c r="U2830"/>
      <c r="V2830"/>
      <c r="W2830">
        <v>18</v>
      </c>
    </row>
    <row r="2831" spans="1:23">
      <c r="A2831"/>
      <c r="B2831" t="s">
        <v>78</v>
      </c>
      <c r="C2831" t="s">
        <v>78</v>
      </c>
      <c r="D2831" t="s">
        <v>33</v>
      </c>
      <c r="E2831" t="s">
        <v>34</v>
      </c>
      <c r="F2831" t="str">
        <f>"0003133"</f>
        <v>0003133</v>
      </c>
      <c r="G2831">
        <v>1</v>
      </c>
      <c r="H2831" t="str">
        <f>"00000000"</f>
        <v>00000000</v>
      </c>
      <c r="I2831" t="s">
        <v>35</v>
      </c>
      <c r="J2831"/>
      <c r="K2831">
        <v>10.42</v>
      </c>
      <c r="L2831">
        <v>0.0</v>
      </c>
      <c r="M2831"/>
      <c r="N2831"/>
      <c r="O2831">
        <v>1.88</v>
      </c>
      <c r="P2831">
        <v>0.0</v>
      </c>
      <c r="Q2831">
        <v>12.3</v>
      </c>
      <c r="R2831"/>
      <c r="S2831"/>
      <c r="T2831"/>
      <c r="U2831"/>
      <c r="V2831"/>
      <c r="W2831">
        <v>18</v>
      </c>
    </row>
    <row r="2832" spans="1:23">
      <c r="A2832"/>
      <c r="B2832" t="s">
        <v>78</v>
      </c>
      <c r="C2832" t="s">
        <v>78</v>
      </c>
      <c r="D2832" t="s">
        <v>33</v>
      </c>
      <c r="E2832" t="s">
        <v>34</v>
      </c>
      <c r="F2832" t="str">
        <f>"0003134"</f>
        <v>0003134</v>
      </c>
      <c r="G2832">
        <v>1</v>
      </c>
      <c r="H2832" t="str">
        <f>"00000000"</f>
        <v>00000000</v>
      </c>
      <c r="I2832" t="s">
        <v>35</v>
      </c>
      <c r="J2832"/>
      <c r="K2832">
        <v>0.02</v>
      </c>
      <c r="L2832">
        <v>11.86</v>
      </c>
      <c r="M2832"/>
      <c r="N2832"/>
      <c r="O2832">
        <v>0.0</v>
      </c>
      <c r="P2832">
        <v>0.2</v>
      </c>
      <c r="Q2832">
        <v>12.08</v>
      </c>
      <c r="R2832"/>
      <c r="S2832"/>
      <c r="T2832"/>
      <c r="U2832"/>
      <c r="V2832"/>
      <c r="W2832">
        <v>18</v>
      </c>
    </row>
    <row r="2833" spans="1:23">
      <c r="A2833"/>
      <c r="B2833" t="s">
        <v>78</v>
      </c>
      <c r="C2833" t="s">
        <v>78</v>
      </c>
      <c r="D2833" t="s">
        <v>33</v>
      </c>
      <c r="E2833" t="s">
        <v>34</v>
      </c>
      <c r="F2833" t="str">
        <f>"0003135"</f>
        <v>0003135</v>
      </c>
      <c r="G2833">
        <v>1</v>
      </c>
      <c r="H2833" t="str">
        <f>"00000000"</f>
        <v>00000000</v>
      </c>
      <c r="I2833" t="s">
        <v>35</v>
      </c>
      <c r="J2833"/>
      <c r="K2833">
        <v>1.1</v>
      </c>
      <c r="L2833">
        <v>0.0</v>
      </c>
      <c r="M2833"/>
      <c r="N2833"/>
      <c r="O2833">
        <v>0.2</v>
      </c>
      <c r="P2833">
        <v>0.0</v>
      </c>
      <c r="Q2833">
        <v>1.3</v>
      </c>
      <c r="R2833"/>
      <c r="S2833"/>
      <c r="T2833"/>
      <c r="U2833"/>
      <c r="V2833"/>
      <c r="W2833">
        <v>18</v>
      </c>
    </row>
    <row r="2834" spans="1:23">
      <c r="A2834"/>
      <c r="B2834" t="s">
        <v>78</v>
      </c>
      <c r="C2834" t="s">
        <v>78</v>
      </c>
      <c r="D2834" t="s">
        <v>33</v>
      </c>
      <c r="E2834" t="s">
        <v>34</v>
      </c>
      <c r="F2834" t="str">
        <f>"0003136"</f>
        <v>0003136</v>
      </c>
      <c r="G2834">
        <v>1</v>
      </c>
      <c r="H2834" t="str">
        <f>"00000000"</f>
        <v>00000000</v>
      </c>
      <c r="I2834" t="s">
        <v>35</v>
      </c>
      <c r="J2834"/>
      <c r="K2834">
        <v>1.79</v>
      </c>
      <c r="L2834">
        <v>6.81</v>
      </c>
      <c r="M2834"/>
      <c r="N2834"/>
      <c r="O2834">
        <v>0.32</v>
      </c>
      <c r="P2834">
        <v>0.0</v>
      </c>
      <c r="Q2834">
        <v>8.92</v>
      </c>
      <c r="R2834"/>
      <c r="S2834"/>
      <c r="T2834"/>
      <c r="U2834"/>
      <c r="V2834"/>
      <c r="W2834">
        <v>18</v>
      </c>
    </row>
    <row r="2835" spans="1:23">
      <c r="A2835"/>
      <c r="B2835" t="s">
        <v>78</v>
      </c>
      <c r="C2835" t="s">
        <v>78</v>
      </c>
      <c r="D2835" t="s">
        <v>33</v>
      </c>
      <c r="E2835" t="s">
        <v>34</v>
      </c>
      <c r="F2835" t="str">
        <f>"0003137"</f>
        <v>0003137</v>
      </c>
      <c r="G2835">
        <v>1</v>
      </c>
      <c r="H2835" t="str">
        <f>"00000000"</f>
        <v>00000000</v>
      </c>
      <c r="I2835" t="s">
        <v>35</v>
      </c>
      <c r="J2835"/>
      <c r="K2835">
        <v>0.12</v>
      </c>
      <c r="L2835">
        <v>2.84</v>
      </c>
      <c r="M2835"/>
      <c r="N2835"/>
      <c r="O2835">
        <v>0.02</v>
      </c>
      <c r="P2835">
        <v>0.0</v>
      </c>
      <c r="Q2835">
        <v>2.98</v>
      </c>
      <c r="R2835"/>
      <c r="S2835"/>
      <c r="T2835"/>
      <c r="U2835"/>
      <c r="V2835"/>
      <c r="W2835">
        <v>18</v>
      </c>
    </row>
    <row r="2836" spans="1:23">
      <c r="A2836"/>
      <c r="B2836" t="s">
        <v>78</v>
      </c>
      <c r="C2836" t="s">
        <v>78</v>
      </c>
      <c r="D2836" t="s">
        <v>33</v>
      </c>
      <c r="E2836" t="s">
        <v>34</v>
      </c>
      <c r="F2836" t="str">
        <f>"0003138"</f>
        <v>0003138</v>
      </c>
      <c r="G2836">
        <v>1</v>
      </c>
      <c r="H2836" t="str">
        <f>"00000000"</f>
        <v>00000000</v>
      </c>
      <c r="I2836" t="s">
        <v>35</v>
      </c>
      <c r="J2836"/>
      <c r="K2836">
        <v>11.03</v>
      </c>
      <c r="L2836">
        <v>0.0</v>
      </c>
      <c r="M2836"/>
      <c r="N2836"/>
      <c r="O2836">
        <v>1.99</v>
      </c>
      <c r="P2836">
        <v>0.2</v>
      </c>
      <c r="Q2836">
        <v>13.22</v>
      </c>
      <c r="R2836"/>
      <c r="S2836"/>
      <c r="T2836"/>
      <c r="U2836"/>
      <c r="V2836"/>
      <c r="W2836">
        <v>18</v>
      </c>
    </row>
    <row r="2837" spans="1:23">
      <c r="A2837"/>
      <c r="B2837" t="s">
        <v>78</v>
      </c>
      <c r="C2837" t="s">
        <v>78</v>
      </c>
      <c r="D2837" t="s">
        <v>33</v>
      </c>
      <c r="E2837" t="s">
        <v>34</v>
      </c>
      <c r="F2837" t="str">
        <f>"0003139"</f>
        <v>0003139</v>
      </c>
      <c r="G2837">
        <v>1</v>
      </c>
      <c r="H2837" t="str">
        <f>"00000000"</f>
        <v>00000000</v>
      </c>
      <c r="I2837" t="s">
        <v>35</v>
      </c>
      <c r="J2837"/>
      <c r="K2837">
        <v>5.39</v>
      </c>
      <c r="L2837">
        <v>0.0</v>
      </c>
      <c r="M2837"/>
      <c r="N2837"/>
      <c r="O2837">
        <v>0.97</v>
      </c>
      <c r="P2837">
        <v>0.0</v>
      </c>
      <c r="Q2837">
        <v>6.35</v>
      </c>
      <c r="R2837"/>
      <c r="S2837"/>
      <c r="T2837"/>
      <c r="U2837"/>
      <c r="V2837"/>
      <c r="W2837">
        <v>18</v>
      </c>
    </row>
    <row r="2838" spans="1:23">
      <c r="A2838"/>
      <c r="B2838" t="s">
        <v>78</v>
      </c>
      <c r="C2838" t="s">
        <v>78</v>
      </c>
      <c r="D2838" t="s">
        <v>33</v>
      </c>
      <c r="E2838" t="s">
        <v>34</v>
      </c>
      <c r="F2838" t="str">
        <f>"0003140"</f>
        <v>0003140</v>
      </c>
      <c r="G2838">
        <v>1</v>
      </c>
      <c r="H2838" t="str">
        <f>"00000000"</f>
        <v>00000000</v>
      </c>
      <c r="I2838" t="s">
        <v>35</v>
      </c>
      <c r="J2838"/>
      <c r="K2838">
        <v>17.68</v>
      </c>
      <c r="L2838">
        <v>0.0</v>
      </c>
      <c r="M2838"/>
      <c r="N2838"/>
      <c r="O2838">
        <v>3.18</v>
      </c>
      <c r="P2838">
        <v>0.2</v>
      </c>
      <c r="Q2838">
        <v>21.07</v>
      </c>
      <c r="R2838"/>
      <c r="S2838"/>
      <c r="T2838"/>
      <c r="U2838"/>
      <c r="V2838"/>
      <c r="W2838">
        <v>18</v>
      </c>
    </row>
    <row r="2839" spans="1:23">
      <c r="A2839"/>
      <c r="B2839" t="s">
        <v>78</v>
      </c>
      <c r="C2839" t="s">
        <v>78</v>
      </c>
      <c r="D2839" t="s">
        <v>33</v>
      </c>
      <c r="E2839" t="s">
        <v>34</v>
      </c>
      <c r="F2839" t="str">
        <f>"0003141"</f>
        <v>0003141</v>
      </c>
      <c r="G2839">
        <v>1</v>
      </c>
      <c r="H2839" t="str">
        <f>"00000000"</f>
        <v>00000000</v>
      </c>
      <c r="I2839" t="s">
        <v>35</v>
      </c>
      <c r="J2839"/>
      <c r="K2839">
        <v>12.35</v>
      </c>
      <c r="L2839">
        <v>4.34</v>
      </c>
      <c r="M2839"/>
      <c r="N2839"/>
      <c r="O2839">
        <v>2.22</v>
      </c>
      <c r="P2839">
        <v>0.0</v>
      </c>
      <c r="Q2839">
        <v>18.92</v>
      </c>
      <c r="R2839"/>
      <c r="S2839"/>
      <c r="T2839"/>
      <c r="U2839"/>
      <c r="V2839"/>
      <c r="W2839">
        <v>18</v>
      </c>
    </row>
    <row r="2840" spans="1:23">
      <c r="A2840"/>
      <c r="B2840" t="s">
        <v>78</v>
      </c>
      <c r="C2840" t="s">
        <v>78</v>
      </c>
      <c r="D2840" t="s">
        <v>33</v>
      </c>
      <c r="E2840" t="s">
        <v>34</v>
      </c>
      <c r="F2840" t="str">
        <f>"0003142"</f>
        <v>0003142</v>
      </c>
      <c r="G2840">
        <v>1</v>
      </c>
      <c r="H2840" t="str">
        <f>"00000000"</f>
        <v>00000000</v>
      </c>
      <c r="I2840" t="s">
        <v>35</v>
      </c>
      <c r="J2840"/>
      <c r="K2840">
        <v>1.86</v>
      </c>
      <c r="L2840">
        <v>0.0</v>
      </c>
      <c r="M2840"/>
      <c r="N2840"/>
      <c r="O2840">
        <v>0.34</v>
      </c>
      <c r="P2840">
        <v>0.0</v>
      </c>
      <c r="Q2840">
        <v>2.2</v>
      </c>
      <c r="R2840"/>
      <c r="S2840"/>
      <c r="T2840"/>
      <c r="U2840"/>
      <c r="V2840"/>
      <c r="W2840">
        <v>18</v>
      </c>
    </row>
    <row r="2841" spans="1:23">
      <c r="A2841"/>
      <c r="B2841" t="s">
        <v>78</v>
      </c>
      <c r="C2841" t="s">
        <v>78</v>
      </c>
      <c r="D2841" t="s">
        <v>33</v>
      </c>
      <c r="E2841" t="s">
        <v>34</v>
      </c>
      <c r="F2841" t="str">
        <f>"0003143"</f>
        <v>0003143</v>
      </c>
      <c r="G2841">
        <v>1</v>
      </c>
      <c r="H2841" t="str">
        <f>"00000000"</f>
        <v>00000000</v>
      </c>
      <c r="I2841" t="s">
        <v>35</v>
      </c>
      <c r="J2841"/>
      <c r="K2841">
        <v>0.35</v>
      </c>
      <c r="L2841">
        <v>0.56</v>
      </c>
      <c r="M2841"/>
      <c r="N2841"/>
      <c r="O2841">
        <v>0.06</v>
      </c>
      <c r="P2841">
        <v>0.0</v>
      </c>
      <c r="Q2841">
        <v>0.97</v>
      </c>
      <c r="R2841"/>
      <c r="S2841"/>
      <c r="T2841"/>
      <c r="U2841"/>
      <c r="V2841"/>
      <c r="W2841">
        <v>18</v>
      </c>
    </row>
    <row r="2842" spans="1:23">
      <c r="A2842"/>
      <c r="B2842" t="s">
        <v>78</v>
      </c>
      <c r="C2842" t="s">
        <v>78</v>
      </c>
      <c r="D2842" t="s">
        <v>33</v>
      </c>
      <c r="E2842" t="s">
        <v>34</v>
      </c>
      <c r="F2842" t="str">
        <f>"0003144"</f>
        <v>0003144</v>
      </c>
      <c r="G2842">
        <v>1</v>
      </c>
      <c r="H2842" t="str">
        <f>"00000000"</f>
        <v>00000000</v>
      </c>
      <c r="I2842" t="s">
        <v>35</v>
      </c>
      <c r="J2842"/>
      <c r="K2842">
        <v>19.92</v>
      </c>
      <c r="L2842">
        <v>0.0</v>
      </c>
      <c r="M2842"/>
      <c r="N2842"/>
      <c r="O2842">
        <v>3.58</v>
      </c>
      <c r="P2842">
        <v>0.0</v>
      </c>
      <c r="Q2842">
        <v>23.5</v>
      </c>
      <c r="R2842"/>
      <c r="S2842"/>
      <c r="T2842"/>
      <c r="U2842"/>
      <c r="V2842"/>
      <c r="W2842">
        <v>18</v>
      </c>
    </row>
    <row r="2843" spans="1:23">
      <c r="A2843"/>
      <c r="B2843" t="s">
        <v>78</v>
      </c>
      <c r="C2843" t="s">
        <v>78</v>
      </c>
      <c r="D2843" t="s">
        <v>33</v>
      </c>
      <c r="E2843" t="s">
        <v>34</v>
      </c>
      <c r="F2843" t="str">
        <f>"0003145"</f>
        <v>0003145</v>
      </c>
      <c r="G2843">
        <v>1</v>
      </c>
      <c r="H2843" t="str">
        <f>"00000000"</f>
        <v>00000000</v>
      </c>
      <c r="I2843" t="s">
        <v>35</v>
      </c>
      <c r="J2843"/>
      <c r="K2843">
        <v>0.02</v>
      </c>
      <c r="L2843">
        <v>0.0</v>
      </c>
      <c r="M2843"/>
      <c r="N2843"/>
      <c r="O2843">
        <v>0.0</v>
      </c>
      <c r="P2843">
        <v>0.2</v>
      </c>
      <c r="Q2843">
        <v>0.22</v>
      </c>
      <c r="R2843"/>
      <c r="S2843"/>
      <c r="T2843"/>
      <c r="U2843"/>
      <c r="V2843"/>
      <c r="W2843">
        <v>18</v>
      </c>
    </row>
    <row r="2844" spans="1:23">
      <c r="A2844"/>
      <c r="B2844" t="s">
        <v>78</v>
      </c>
      <c r="C2844" t="s">
        <v>78</v>
      </c>
      <c r="D2844" t="s">
        <v>33</v>
      </c>
      <c r="E2844" t="s">
        <v>34</v>
      </c>
      <c r="F2844" t="str">
        <f>"0003146"</f>
        <v>0003146</v>
      </c>
      <c r="G2844">
        <v>1</v>
      </c>
      <c r="H2844" t="str">
        <f>"00000000"</f>
        <v>00000000</v>
      </c>
      <c r="I2844" t="s">
        <v>35</v>
      </c>
      <c r="J2844"/>
      <c r="K2844">
        <v>10.51</v>
      </c>
      <c r="L2844">
        <v>3.04</v>
      </c>
      <c r="M2844"/>
      <c r="N2844"/>
      <c r="O2844">
        <v>1.89</v>
      </c>
      <c r="P2844">
        <v>0.0</v>
      </c>
      <c r="Q2844">
        <v>15.44</v>
      </c>
      <c r="R2844"/>
      <c r="S2844"/>
      <c r="T2844"/>
      <c r="U2844"/>
      <c r="V2844"/>
      <c r="W2844">
        <v>18</v>
      </c>
    </row>
    <row r="2845" spans="1:23">
      <c r="A2845"/>
      <c r="B2845" t="s">
        <v>78</v>
      </c>
      <c r="C2845" t="s">
        <v>78</v>
      </c>
      <c r="D2845" t="s">
        <v>33</v>
      </c>
      <c r="E2845" t="s">
        <v>34</v>
      </c>
      <c r="F2845" t="str">
        <f>"0003147"</f>
        <v>0003147</v>
      </c>
      <c r="G2845">
        <v>1</v>
      </c>
      <c r="H2845" t="str">
        <f>"00000000"</f>
        <v>00000000</v>
      </c>
      <c r="I2845" t="s">
        <v>35</v>
      </c>
      <c r="J2845"/>
      <c r="K2845">
        <v>8.01</v>
      </c>
      <c r="L2845">
        <v>0.0</v>
      </c>
      <c r="M2845"/>
      <c r="N2845"/>
      <c r="O2845">
        <v>1.44</v>
      </c>
      <c r="P2845">
        <v>0.0</v>
      </c>
      <c r="Q2845">
        <v>9.45</v>
      </c>
      <c r="R2845"/>
      <c r="S2845"/>
      <c r="T2845"/>
      <c r="U2845"/>
      <c r="V2845"/>
      <c r="W2845">
        <v>18</v>
      </c>
    </row>
    <row r="2846" spans="1:23">
      <c r="A2846"/>
      <c r="B2846" t="s">
        <v>78</v>
      </c>
      <c r="C2846" t="s">
        <v>78</v>
      </c>
      <c r="D2846" t="s">
        <v>33</v>
      </c>
      <c r="E2846" t="s">
        <v>34</v>
      </c>
      <c r="F2846" t="str">
        <f>"0003148"</f>
        <v>0003148</v>
      </c>
      <c r="G2846">
        <v>1</v>
      </c>
      <c r="H2846" t="str">
        <f>"00000000"</f>
        <v>00000000</v>
      </c>
      <c r="I2846" t="s">
        <v>35</v>
      </c>
      <c r="J2846"/>
      <c r="K2846">
        <v>2.09</v>
      </c>
      <c r="L2846">
        <v>0.0</v>
      </c>
      <c r="M2846"/>
      <c r="N2846"/>
      <c r="O2846">
        <v>0.38</v>
      </c>
      <c r="P2846">
        <v>0.0</v>
      </c>
      <c r="Q2846">
        <v>2.47</v>
      </c>
      <c r="R2846"/>
      <c r="S2846"/>
      <c r="T2846"/>
      <c r="U2846"/>
      <c r="V2846"/>
      <c r="W2846">
        <v>18</v>
      </c>
    </row>
    <row r="2847" spans="1:23">
      <c r="A2847"/>
      <c r="B2847" t="s">
        <v>78</v>
      </c>
      <c r="C2847" t="s">
        <v>78</v>
      </c>
      <c r="D2847" t="s">
        <v>33</v>
      </c>
      <c r="E2847" t="s">
        <v>34</v>
      </c>
      <c r="F2847" t="str">
        <f>"0003149"</f>
        <v>0003149</v>
      </c>
      <c r="G2847">
        <v>1</v>
      </c>
      <c r="H2847" t="str">
        <f>"00000000"</f>
        <v>00000000</v>
      </c>
      <c r="I2847" t="s">
        <v>35</v>
      </c>
      <c r="J2847"/>
      <c r="K2847">
        <v>4.51</v>
      </c>
      <c r="L2847">
        <v>1.63</v>
      </c>
      <c r="M2847"/>
      <c r="N2847"/>
      <c r="O2847">
        <v>0.81</v>
      </c>
      <c r="P2847">
        <v>0.2</v>
      </c>
      <c r="Q2847">
        <v>7.15</v>
      </c>
      <c r="R2847"/>
      <c r="S2847"/>
      <c r="T2847"/>
      <c r="U2847"/>
      <c r="V2847"/>
      <c r="W2847">
        <v>18</v>
      </c>
    </row>
    <row r="2848" spans="1:23">
      <c r="A2848"/>
      <c r="B2848" t="s">
        <v>78</v>
      </c>
      <c r="C2848" t="s">
        <v>78</v>
      </c>
      <c r="D2848" t="s">
        <v>33</v>
      </c>
      <c r="E2848" t="s">
        <v>34</v>
      </c>
      <c r="F2848" t="str">
        <f>"0003150"</f>
        <v>0003150</v>
      </c>
      <c r="G2848">
        <v>1</v>
      </c>
      <c r="H2848" t="str">
        <f>"00000000"</f>
        <v>00000000</v>
      </c>
      <c r="I2848" t="s">
        <v>35</v>
      </c>
      <c r="J2848"/>
      <c r="K2848">
        <v>1.81</v>
      </c>
      <c r="L2848">
        <v>1.12</v>
      </c>
      <c r="M2848"/>
      <c r="N2848"/>
      <c r="O2848">
        <v>0.33</v>
      </c>
      <c r="P2848">
        <v>0.2</v>
      </c>
      <c r="Q2848">
        <v>3.46</v>
      </c>
      <c r="R2848"/>
      <c r="S2848"/>
      <c r="T2848"/>
      <c r="U2848"/>
      <c r="V2848"/>
      <c r="W2848">
        <v>18</v>
      </c>
    </row>
    <row r="2849" spans="1:23">
      <c r="A2849"/>
      <c r="B2849" t="s">
        <v>78</v>
      </c>
      <c r="C2849" t="s">
        <v>78</v>
      </c>
      <c r="D2849" t="s">
        <v>33</v>
      </c>
      <c r="E2849" t="s">
        <v>34</v>
      </c>
      <c r="F2849" t="str">
        <f>"0003151"</f>
        <v>0003151</v>
      </c>
      <c r="G2849">
        <v>1</v>
      </c>
      <c r="H2849" t="str">
        <f>"00000000"</f>
        <v>00000000</v>
      </c>
      <c r="I2849" t="s">
        <v>35</v>
      </c>
      <c r="J2849"/>
      <c r="K2849">
        <v>3.81</v>
      </c>
      <c r="L2849">
        <v>0.0</v>
      </c>
      <c r="M2849"/>
      <c r="N2849"/>
      <c r="O2849">
        <v>0.69</v>
      </c>
      <c r="P2849">
        <v>0.0</v>
      </c>
      <c r="Q2849">
        <v>4.5</v>
      </c>
      <c r="R2849"/>
      <c r="S2849"/>
      <c r="T2849"/>
      <c r="U2849"/>
      <c r="V2849"/>
      <c r="W2849">
        <v>18</v>
      </c>
    </row>
    <row r="2850" spans="1:23">
      <c r="A2850"/>
      <c r="B2850" t="s">
        <v>78</v>
      </c>
      <c r="C2850" t="s">
        <v>78</v>
      </c>
      <c r="D2850" t="s">
        <v>33</v>
      </c>
      <c r="E2850" t="s">
        <v>34</v>
      </c>
      <c r="F2850" t="str">
        <f>"0003152"</f>
        <v>0003152</v>
      </c>
      <c r="G2850">
        <v>1</v>
      </c>
      <c r="H2850" t="str">
        <f>"00000000"</f>
        <v>00000000</v>
      </c>
      <c r="I2850" t="s">
        <v>35</v>
      </c>
      <c r="J2850"/>
      <c r="K2850">
        <v>3.39</v>
      </c>
      <c r="L2850">
        <v>0.0</v>
      </c>
      <c r="M2850"/>
      <c r="N2850"/>
      <c r="O2850">
        <v>0.61</v>
      </c>
      <c r="P2850">
        <v>0.0</v>
      </c>
      <c r="Q2850">
        <v>4.0</v>
      </c>
      <c r="R2850"/>
      <c r="S2850"/>
      <c r="T2850"/>
      <c r="U2850"/>
      <c r="V2850"/>
      <c r="W2850">
        <v>18</v>
      </c>
    </row>
    <row r="2851" spans="1:23">
      <c r="A2851"/>
      <c r="B2851" t="s">
        <v>78</v>
      </c>
      <c r="C2851" t="s">
        <v>78</v>
      </c>
      <c r="D2851" t="s">
        <v>33</v>
      </c>
      <c r="E2851" t="s">
        <v>34</v>
      </c>
      <c r="F2851" t="str">
        <f>"0003153"</f>
        <v>0003153</v>
      </c>
      <c r="G2851">
        <v>1</v>
      </c>
      <c r="H2851" t="str">
        <f>"00000000"</f>
        <v>00000000</v>
      </c>
      <c r="I2851" t="s">
        <v>35</v>
      </c>
      <c r="J2851"/>
      <c r="K2851">
        <v>13.98</v>
      </c>
      <c r="L2851">
        <v>0.0</v>
      </c>
      <c r="M2851"/>
      <c r="N2851"/>
      <c r="O2851">
        <v>2.52</v>
      </c>
      <c r="P2851">
        <v>0.0</v>
      </c>
      <c r="Q2851">
        <v>16.5</v>
      </c>
      <c r="R2851"/>
      <c r="S2851"/>
      <c r="T2851"/>
      <c r="U2851"/>
      <c r="V2851"/>
      <c r="W2851">
        <v>18</v>
      </c>
    </row>
    <row r="2852" spans="1:23">
      <c r="A2852"/>
      <c r="B2852" t="s">
        <v>78</v>
      </c>
      <c r="C2852" t="s">
        <v>78</v>
      </c>
      <c r="D2852" t="s">
        <v>33</v>
      </c>
      <c r="E2852" t="s">
        <v>34</v>
      </c>
      <c r="F2852" t="str">
        <f>"0003154"</f>
        <v>0003154</v>
      </c>
      <c r="G2852">
        <v>1</v>
      </c>
      <c r="H2852" t="str">
        <f>"00000000"</f>
        <v>00000000</v>
      </c>
      <c r="I2852" t="s">
        <v>35</v>
      </c>
      <c r="J2852"/>
      <c r="K2852">
        <v>6.15</v>
      </c>
      <c r="L2852">
        <v>1.81</v>
      </c>
      <c r="M2852"/>
      <c r="N2852"/>
      <c r="O2852">
        <v>1.11</v>
      </c>
      <c r="P2852">
        <v>0.2</v>
      </c>
      <c r="Q2852">
        <v>9.27</v>
      </c>
      <c r="R2852"/>
      <c r="S2852"/>
      <c r="T2852"/>
      <c r="U2852"/>
      <c r="V2852"/>
      <c r="W2852">
        <v>18</v>
      </c>
    </row>
    <row r="2853" spans="1:23">
      <c r="A2853"/>
      <c r="B2853" t="s">
        <v>78</v>
      </c>
      <c r="C2853" t="s">
        <v>78</v>
      </c>
      <c r="D2853" t="s">
        <v>33</v>
      </c>
      <c r="E2853" t="s">
        <v>34</v>
      </c>
      <c r="F2853" t="str">
        <f>"0003155"</f>
        <v>0003155</v>
      </c>
      <c r="G2853">
        <v>1</v>
      </c>
      <c r="H2853" t="str">
        <f>"00000000"</f>
        <v>00000000</v>
      </c>
      <c r="I2853" t="s">
        <v>35</v>
      </c>
      <c r="J2853"/>
      <c r="K2853">
        <v>6.74</v>
      </c>
      <c r="L2853">
        <v>2.56</v>
      </c>
      <c r="M2853"/>
      <c r="N2853"/>
      <c r="O2853">
        <v>1.21</v>
      </c>
      <c r="P2853">
        <v>0.0</v>
      </c>
      <c r="Q2853">
        <v>10.51</v>
      </c>
      <c r="R2853"/>
      <c r="S2853"/>
      <c r="T2853"/>
      <c r="U2853"/>
      <c r="V2853"/>
      <c r="W2853">
        <v>18</v>
      </c>
    </row>
    <row r="2854" spans="1:23">
      <c r="A2854"/>
      <c r="B2854" t="s">
        <v>78</v>
      </c>
      <c r="C2854" t="s">
        <v>78</v>
      </c>
      <c r="D2854" t="s">
        <v>33</v>
      </c>
      <c r="E2854" t="s">
        <v>34</v>
      </c>
      <c r="F2854" t="str">
        <f>"0003156"</f>
        <v>0003156</v>
      </c>
      <c r="G2854">
        <v>1</v>
      </c>
      <c r="H2854" t="str">
        <f>"00000000"</f>
        <v>00000000</v>
      </c>
      <c r="I2854" t="s">
        <v>35</v>
      </c>
      <c r="J2854"/>
      <c r="K2854">
        <v>6.12</v>
      </c>
      <c r="L2854">
        <v>0.0</v>
      </c>
      <c r="M2854"/>
      <c r="N2854"/>
      <c r="O2854">
        <v>1.1</v>
      </c>
      <c r="P2854">
        <v>0.0</v>
      </c>
      <c r="Q2854">
        <v>7.22</v>
      </c>
      <c r="R2854"/>
      <c r="S2854"/>
      <c r="T2854"/>
      <c r="U2854"/>
      <c r="V2854"/>
      <c r="W2854">
        <v>18</v>
      </c>
    </row>
    <row r="2855" spans="1:23">
      <c r="A2855"/>
      <c r="B2855" t="s">
        <v>78</v>
      </c>
      <c r="C2855" t="s">
        <v>78</v>
      </c>
      <c r="D2855" t="s">
        <v>33</v>
      </c>
      <c r="E2855" t="s">
        <v>34</v>
      </c>
      <c r="F2855" t="str">
        <f>"0003157"</f>
        <v>0003157</v>
      </c>
      <c r="G2855">
        <v>1</v>
      </c>
      <c r="H2855" t="str">
        <f>"00000000"</f>
        <v>00000000</v>
      </c>
      <c r="I2855" t="s">
        <v>35</v>
      </c>
      <c r="J2855"/>
      <c r="K2855">
        <v>3.81</v>
      </c>
      <c r="L2855">
        <v>0.0</v>
      </c>
      <c r="M2855"/>
      <c r="N2855"/>
      <c r="O2855">
        <v>0.69</v>
      </c>
      <c r="P2855">
        <v>0.0</v>
      </c>
      <c r="Q2855">
        <v>4.5</v>
      </c>
      <c r="R2855"/>
      <c r="S2855"/>
      <c r="T2855"/>
      <c r="U2855"/>
      <c r="V2855"/>
      <c r="W2855">
        <v>18</v>
      </c>
    </row>
    <row r="2856" spans="1:23">
      <c r="A2856"/>
      <c r="B2856" t="s">
        <v>78</v>
      </c>
      <c r="C2856" t="s">
        <v>78</v>
      </c>
      <c r="D2856" t="s">
        <v>33</v>
      </c>
      <c r="E2856" t="s">
        <v>34</v>
      </c>
      <c r="F2856" t="str">
        <f>"0003158"</f>
        <v>0003158</v>
      </c>
      <c r="G2856">
        <v>1</v>
      </c>
      <c r="H2856" t="str">
        <f>"00000000"</f>
        <v>00000000</v>
      </c>
      <c r="I2856" t="s">
        <v>35</v>
      </c>
      <c r="J2856"/>
      <c r="K2856">
        <v>6.86</v>
      </c>
      <c r="L2856">
        <v>0.0</v>
      </c>
      <c r="M2856"/>
      <c r="N2856"/>
      <c r="O2856">
        <v>1.24</v>
      </c>
      <c r="P2856">
        <v>0.0</v>
      </c>
      <c r="Q2856">
        <v>8.1</v>
      </c>
      <c r="R2856"/>
      <c r="S2856"/>
      <c r="T2856"/>
      <c r="U2856"/>
      <c r="V2856"/>
      <c r="W2856">
        <v>18</v>
      </c>
    </row>
    <row r="2857" spans="1:23">
      <c r="A2857"/>
      <c r="B2857" t="s">
        <v>78</v>
      </c>
      <c r="C2857" t="s">
        <v>78</v>
      </c>
      <c r="D2857" t="s">
        <v>33</v>
      </c>
      <c r="E2857" t="s">
        <v>34</v>
      </c>
      <c r="F2857" t="str">
        <f>"0003159"</f>
        <v>0003159</v>
      </c>
      <c r="G2857">
        <v>1</v>
      </c>
      <c r="H2857" t="str">
        <f>"00000000"</f>
        <v>00000000</v>
      </c>
      <c r="I2857" t="s">
        <v>35</v>
      </c>
      <c r="J2857"/>
      <c r="K2857">
        <v>68.68</v>
      </c>
      <c r="L2857">
        <v>0.0</v>
      </c>
      <c r="M2857"/>
      <c r="N2857"/>
      <c r="O2857">
        <v>12.36</v>
      </c>
      <c r="P2857">
        <v>0.2</v>
      </c>
      <c r="Q2857">
        <v>81.24</v>
      </c>
      <c r="R2857"/>
      <c r="S2857"/>
      <c r="T2857"/>
      <c r="U2857"/>
      <c r="V2857"/>
      <c r="W2857">
        <v>18</v>
      </c>
    </row>
    <row r="2858" spans="1:23">
      <c r="A2858"/>
      <c r="B2858" t="s">
        <v>78</v>
      </c>
      <c r="C2858" t="s">
        <v>78</v>
      </c>
      <c r="D2858" t="s">
        <v>33</v>
      </c>
      <c r="E2858" t="s">
        <v>34</v>
      </c>
      <c r="F2858" t="str">
        <f>"0003160"</f>
        <v>0003160</v>
      </c>
      <c r="G2858">
        <v>1</v>
      </c>
      <c r="H2858" t="str">
        <f>"00000000"</f>
        <v>00000000</v>
      </c>
      <c r="I2858" t="s">
        <v>35</v>
      </c>
      <c r="J2858"/>
      <c r="K2858">
        <v>4.07</v>
      </c>
      <c r="L2858">
        <v>0.0</v>
      </c>
      <c r="M2858"/>
      <c r="N2858"/>
      <c r="O2858">
        <v>0.73</v>
      </c>
      <c r="P2858">
        <v>0.0</v>
      </c>
      <c r="Q2858">
        <v>4.8</v>
      </c>
      <c r="R2858"/>
      <c r="S2858"/>
      <c r="T2858"/>
      <c r="U2858"/>
      <c r="V2858"/>
      <c r="W2858">
        <v>18</v>
      </c>
    </row>
    <row r="2859" spans="1:23">
      <c r="A2859"/>
      <c r="B2859" t="s">
        <v>78</v>
      </c>
      <c r="C2859" t="s">
        <v>78</v>
      </c>
      <c r="D2859" t="s">
        <v>33</v>
      </c>
      <c r="E2859" t="s">
        <v>34</v>
      </c>
      <c r="F2859" t="str">
        <f>"0003161"</f>
        <v>0003161</v>
      </c>
      <c r="G2859">
        <v>1</v>
      </c>
      <c r="H2859" t="str">
        <f>"00000000"</f>
        <v>00000000</v>
      </c>
      <c r="I2859" t="s">
        <v>35</v>
      </c>
      <c r="J2859"/>
      <c r="K2859">
        <v>3.29</v>
      </c>
      <c r="L2859">
        <v>0.0</v>
      </c>
      <c r="M2859"/>
      <c r="N2859"/>
      <c r="O2859">
        <v>0.59</v>
      </c>
      <c r="P2859">
        <v>0.0</v>
      </c>
      <c r="Q2859">
        <v>3.88</v>
      </c>
      <c r="R2859"/>
      <c r="S2859"/>
      <c r="T2859"/>
      <c r="U2859"/>
      <c r="V2859"/>
      <c r="W2859">
        <v>18</v>
      </c>
    </row>
    <row r="2860" spans="1:23">
      <c r="A2860"/>
      <c r="B2860" t="s">
        <v>78</v>
      </c>
      <c r="C2860" t="s">
        <v>78</v>
      </c>
      <c r="D2860" t="s">
        <v>33</v>
      </c>
      <c r="E2860" t="s">
        <v>34</v>
      </c>
      <c r="F2860" t="str">
        <f>"0003162"</f>
        <v>0003162</v>
      </c>
      <c r="G2860">
        <v>1</v>
      </c>
      <c r="H2860" t="str">
        <f>"00000000"</f>
        <v>00000000</v>
      </c>
      <c r="I2860" t="s">
        <v>35</v>
      </c>
      <c r="J2860"/>
      <c r="K2860">
        <v>31.5</v>
      </c>
      <c r="L2860">
        <v>3.19</v>
      </c>
      <c r="M2860"/>
      <c r="N2860"/>
      <c r="O2860">
        <v>5.67</v>
      </c>
      <c r="P2860">
        <v>0.0</v>
      </c>
      <c r="Q2860">
        <v>40.35</v>
      </c>
      <c r="R2860"/>
      <c r="S2860"/>
      <c r="T2860"/>
      <c r="U2860"/>
      <c r="V2860"/>
      <c r="W2860">
        <v>18</v>
      </c>
    </row>
    <row r="2861" spans="1:23">
      <c r="A2861"/>
      <c r="B2861" t="s">
        <v>78</v>
      </c>
      <c r="C2861" t="s">
        <v>78</v>
      </c>
      <c r="D2861" t="s">
        <v>33</v>
      </c>
      <c r="E2861" t="s">
        <v>34</v>
      </c>
      <c r="F2861" t="str">
        <f>"0003163"</f>
        <v>0003163</v>
      </c>
      <c r="G2861">
        <v>1</v>
      </c>
      <c r="H2861" t="str">
        <f>"00000000"</f>
        <v>00000000</v>
      </c>
      <c r="I2861" t="s">
        <v>35</v>
      </c>
      <c r="J2861"/>
      <c r="K2861">
        <v>14.07</v>
      </c>
      <c r="L2861">
        <v>8.98</v>
      </c>
      <c r="M2861"/>
      <c r="N2861"/>
      <c r="O2861">
        <v>2.53</v>
      </c>
      <c r="P2861">
        <v>0.0</v>
      </c>
      <c r="Q2861">
        <v>25.59</v>
      </c>
      <c r="R2861"/>
      <c r="S2861"/>
      <c r="T2861"/>
      <c r="U2861"/>
      <c r="V2861"/>
      <c r="W2861">
        <v>18</v>
      </c>
    </row>
    <row r="2862" spans="1:23">
      <c r="A2862"/>
      <c r="B2862" t="s">
        <v>78</v>
      </c>
      <c r="C2862" t="s">
        <v>78</v>
      </c>
      <c r="D2862" t="s">
        <v>33</v>
      </c>
      <c r="E2862" t="s">
        <v>34</v>
      </c>
      <c r="F2862" t="str">
        <f>"0003164"</f>
        <v>0003164</v>
      </c>
      <c r="G2862">
        <v>1</v>
      </c>
      <c r="H2862" t="str">
        <f>"00000000"</f>
        <v>00000000</v>
      </c>
      <c r="I2862" t="s">
        <v>35</v>
      </c>
      <c r="J2862"/>
      <c r="K2862">
        <v>21.27</v>
      </c>
      <c r="L2862">
        <v>0.0</v>
      </c>
      <c r="M2862"/>
      <c r="N2862"/>
      <c r="O2862">
        <v>3.83</v>
      </c>
      <c r="P2862">
        <v>0.0</v>
      </c>
      <c r="Q2862">
        <v>25.1</v>
      </c>
      <c r="R2862"/>
      <c r="S2862"/>
      <c r="T2862"/>
      <c r="U2862"/>
      <c r="V2862"/>
      <c r="W2862">
        <v>18</v>
      </c>
    </row>
    <row r="2863" spans="1:23">
      <c r="A2863"/>
      <c r="B2863" t="s">
        <v>78</v>
      </c>
      <c r="C2863" t="s">
        <v>78</v>
      </c>
      <c r="D2863" t="s">
        <v>33</v>
      </c>
      <c r="E2863" t="s">
        <v>34</v>
      </c>
      <c r="F2863" t="str">
        <f>"0003165"</f>
        <v>0003165</v>
      </c>
      <c r="G2863">
        <v>1</v>
      </c>
      <c r="H2863" t="str">
        <f>"00000000"</f>
        <v>00000000</v>
      </c>
      <c r="I2863" t="s">
        <v>35</v>
      </c>
      <c r="J2863"/>
      <c r="K2863">
        <v>20.86</v>
      </c>
      <c r="L2863">
        <v>0.0</v>
      </c>
      <c r="M2863"/>
      <c r="N2863"/>
      <c r="O2863">
        <v>3.76</v>
      </c>
      <c r="P2863">
        <v>0.2</v>
      </c>
      <c r="Q2863">
        <v>24.82</v>
      </c>
      <c r="R2863"/>
      <c r="S2863"/>
      <c r="T2863"/>
      <c r="U2863"/>
      <c r="V2863"/>
      <c r="W2863">
        <v>18</v>
      </c>
    </row>
    <row r="2864" spans="1:23">
      <c r="A2864"/>
      <c r="B2864" t="s">
        <v>78</v>
      </c>
      <c r="C2864" t="s">
        <v>78</v>
      </c>
      <c r="D2864" t="s">
        <v>33</v>
      </c>
      <c r="E2864" t="s">
        <v>34</v>
      </c>
      <c r="F2864" t="str">
        <f>"0003166"</f>
        <v>0003166</v>
      </c>
      <c r="G2864">
        <v>1</v>
      </c>
      <c r="H2864" t="str">
        <f>"00000000"</f>
        <v>00000000</v>
      </c>
      <c r="I2864" t="s">
        <v>35</v>
      </c>
      <c r="J2864"/>
      <c r="K2864">
        <v>1.86</v>
      </c>
      <c r="L2864">
        <v>0.0</v>
      </c>
      <c r="M2864"/>
      <c r="N2864"/>
      <c r="O2864">
        <v>0.34</v>
      </c>
      <c r="P2864">
        <v>0.0</v>
      </c>
      <c r="Q2864">
        <v>2.2</v>
      </c>
      <c r="R2864"/>
      <c r="S2864"/>
      <c r="T2864"/>
      <c r="U2864"/>
      <c r="V2864"/>
      <c r="W2864">
        <v>18</v>
      </c>
    </row>
    <row r="2865" spans="1:23">
      <c r="A2865"/>
      <c r="B2865" t="s">
        <v>78</v>
      </c>
      <c r="C2865" t="s">
        <v>78</v>
      </c>
      <c r="D2865" t="s">
        <v>33</v>
      </c>
      <c r="E2865" t="s">
        <v>34</v>
      </c>
      <c r="F2865" t="str">
        <f>"0003167"</f>
        <v>0003167</v>
      </c>
      <c r="G2865">
        <v>1</v>
      </c>
      <c r="H2865" t="str">
        <f>"00000000"</f>
        <v>00000000</v>
      </c>
      <c r="I2865" t="s">
        <v>35</v>
      </c>
      <c r="J2865"/>
      <c r="K2865">
        <v>4.15</v>
      </c>
      <c r="L2865">
        <v>0.0</v>
      </c>
      <c r="M2865"/>
      <c r="N2865"/>
      <c r="O2865">
        <v>0.75</v>
      </c>
      <c r="P2865">
        <v>0.0</v>
      </c>
      <c r="Q2865">
        <v>4.9</v>
      </c>
      <c r="R2865"/>
      <c r="S2865"/>
      <c r="T2865"/>
      <c r="U2865"/>
      <c r="V2865"/>
      <c r="W2865">
        <v>18</v>
      </c>
    </row>
    <row r="2866" spans="1:23">
      <c r="A2866"/>
      <c r="B2866" t="s">
        <v>78</v>
      </c>
      <c r="C2866" t="s">
        <v>78</v>
      </c>
      <c r="D2866" t="s">
        <v>33</v>
      </c>
      <c r="E2866" t="s">
        <v>34</v>
      </c>
      <c r="F2866" t="str">
        <f>"0003168"</f>
        <v>0003168</v>
      </c>
      <c r="G2866">
        <v>1</v>
      </c>
      <c r="H2866" t="str">
        <f>"00000000"</f>
        <v>00000000</v>
      </c>
      <c r="I2866" t="s">
        <v>35</v>
      </c>
      <c r="J2866"/>
      <c r="K2866">
        <v>4.72</v>
      </c>
      <c r="L2866">
        <v>0.0</v>
      </c>
      <c r="M2866"/>
      <c r="N2866"/>
      <c r="O2866">
        <v>0.85</v>
      </c>
      <c r="P2866">
        <v>0.2</v>
      </c>
      <c r="Q2866">
        <v>5.77</v>
      </c>
      <c r="R2866"/>
      <c r="S2866"/>
      <c r="T2866"/>
      <c r="U2866"/>
      <c r="V2866"/>
      <c r="W2866">
        <v>18</v>
      </c>
    </row>
    <row r="2867" spans="1:23">
      <c r="A2867"/>
      <c r="B2867" t="s">
        <v>78</v>
      </c>
      <c r="C2867" t="s">
        <v>78</v>
      </c>
      <c r="D2867" t="s">
        <v>33</v>
      </c>
      <c r="E2867" t="s">
        <v>34</v>
      </c>
      <c r="F2867" t="str">
        <f>"0003169"</f>
        <v>0003169</v>
      </c>
      <c r="G2867">
        <v>1</v>
      </c>
      <c r="H2867" t="str">
        <f>"00000000"</f>
        <v>00000000</v>
      </c>
      <c r="I2867" t="s">
        <v>35</v>
      </c>
      <c r="J2867"/>
      <c r="K2867">
        <v>4.5</v>
      </c>
      <c r="L2867">
        <v>0.0</v>
      </c>
      <c r="M2867"/>
      <c r="N2867"/>
      <c r="O2867">
        <v>0.81</v>
      </c>
      <c r="P2867">
        <v>0.2</v>
      </c>
      <c r="Q2867">
        <v>5.51</v>
      </c>
      <c r="R2867"/>
      <c r="S2867"/>
      <c r="T2867"/>
      <c r="U2867"/>
      <c r="V2867"/>
      <c r="W2867">
        <v>18</v>
      </c>
    </row>
    <row r="2868" spans="1:23">
      <c r="A2868"/>
      <c r="B2868" t="s">
        <v>78</v>
      </c>
      <c r="C2868" t="s">
        <v>78</v>
      </c>
      <c r="D2868" t="s">
        <v>33</v>
      </c>
      <c r="E2868" t="s">
        <v>34</v>
      </c>
      <c r="F2868" t="str">
        <f>"0003170"</f>
        <v>0003170</v>
      </c>
      <c r="G2868">
        <v>1</v>
      </c>
      <c r="H2868" t="str">
        <f>"00000000"</f>
        <v>00000000</v>
      </c>
      <c r="I2868" t="s">
        <v>35</v>
      </c>
      <c r="J2868"/>
      <c r="K2868">
        <v>0.0</v>
      </c>
      <c r="L2868">
        <v>1.64</v>
      </c>
      <c r="M2868"/>
      <c r="N2868"/>
      <c r="O2868">
        <v>0.0</v>
      </c>
      <c r="P2868">
        <v>0.0</v>
      </c>
      <c r="Q2868">
        <v>1.64</v>
      </c>
      <c r="R2868"/>
      <c r="S2868"/>
      <c r="T2868"/>
      <c r="U2868"/>
      <c r="V2868"/>
      <c r="W2868">
        <v>18</v>
      </c>
    </row>
    <row r="2869" spans="1:23">
      <c r="A2869"/>
      <c r="B2869" t="s">
        <v>78</v>
      </c>
      <c r="C2869" t="s">
        <v>78</v>
      </c>
      <c r="D2869" t="s">
        <v>33</v>
      </c>
      <c r="E2869" t="s">
        <v>34</v>
      </c>
      <c r="F2869" t="str">
        <f>"0003171"</f>
        <v>0003171</v>
      </c>
      <c r="G2869">
        <v>1</v>
      </c>
      <c r="H2869" t="str">
        <f>"00000000"</f>
        <v>00000000</v>
      </c>
      <c r="I2869" t="s">
        <v>35</v>
      </c>
      <c r="J2869"/>
      <c r="K2869">
        <v>10.0</v>
      </c>
      <c r="L2869">
        <v>0.0</v>
      </c>
      <c r="M2869"/>
      <c r="N2869"/>
      <c r="O2869">
        <v>1.8</v>
      </c>
      <c r="P2869">
        <v>0.0</v>
      </c>
      <c r="Q2869">
        <v>11.8</v>
      </c>
      <c r="R2869"/>
      <c r="S2869"/>
      <c r="T2869"/>
      <c r="U2869"/>
      <c r="V2869"/>
      <c r="W2869">
        <v>18</v>
      </c>
    </row>
    <row r="2870" spans="1:23">
      <c r="A2870"/>
      <c r="B2870" t="s">
        <v>78</v>
      </c>
      <c r="C2870" t="s">
        <v>78</v>
      </c>
      <c r="D2870" t="s">
        <v>33</v>
      </c>
      <c r="E2870" t="s">
        <v>34</v>
      </c>
      <c r="F2870" t="str">
        <f>"0003172"</f>
        <v>0003172</v>
      </c>
      <c r="G2870">
        <v>1</v>
      </c>
      <c r="H2870" t="str">
        <f>"00000000"</f>
        <v>00000000</v>
      </c>
      <c r="I2870" t="s">
        <v>35</v>
      </c>
      <c r="J2870"/>
      <c r="K2870">
        <v>9.24</v>
      </c>
      <c r="L2870">
        <v>0.0</v>
      </c>
      <c r="M2870"/>
      <c r="N2870"/>
      <c r="O2870">
        <v>1.66</v>
      </c>
      <c r="P2870">
        <v>0.0</v>
      </c>
      <c r="Q2870">
        <v>10.9</v>
      </c>
      <c r="R2870"/>
      <c r="S2870"/>
      <c r="T2870"/>
      <c r="U2870"/>
      <c r="V2870"/>
      <c r="W2870">
        <v>18</v>
      </c>
    </row>
    <row r="2871" spans="1:23">
      <c r="A2871"/>
      <c r="B2871" t="s">
        <v>78</v>
      </c>
      <c r="C2871" t="s">
        <v>78</v>
      </c>
      <c r="D2871" t="s">
        <v>33</v>
      </c>
      <c r="E2871" t="s">
        <v>34</v>
      </c>
      <c r="F2871" t="str">
        <f>"0003173"</f>
        <v>0003173</v>
      </c>
      <c r="G2871">
        <v>1</v>
      </c>
      <c r="H2871" t="str">
        <f>"00000000"</f>
        <v>00000000</v>
      </c>
      <c r="I2871" t="s">
        <v>35</v>
      </c>
      <c r="J2871"/>
      <c r="K2871">
        <v>5.68</v>
      </c>
      <c r="L2871">
        <v>0.0</v>
      </c>
      <c r="M2871"/>
      <c r="N2871"/>
      <c r="O2871">
        <v>1.02</v>
      </c>
      <c r="P2871">
        <v>0.0</v>
      </c>
      <c r="Q2871">
        <v>6.7</v>
      </c>
      <c r="R2871"/>
      <c r="S2871"/>
      <c r="T2871"/>
      <c r="U2871"/>
      <c r="V2871"/>
      <c r="W2871">
        <v>18</v>
      </c>
    </row>
    <row r="2872" spans="1:23">
      <c r="A2872"/>
      <c r="B2872" t="s">
        <v>78</v>
      </c>
      <c r="C2872" t="s">
        <v>78</v>
      </c>
      <c r="D2872" t="s">
        <v>33</v>
      </c>
      <c r="E2872" t="s">
        <v>34</v>
      </c>
      <c r="F2872" t="str">
        <f>"0003174"</f>
        <v>0003174</v>
      </c>
      <c r="G2872">
        <v>1</v>
      </c>
      <c r="H2872" t="str">
        <f>"00000000"</f>
        <v>00000000</v>
      </c>
      <c r="I2872" t="s">
        <v>35</v>
      </c>
      <c r="J2872"/>
      <c r="K2872">
        <v>4.29</v>
      </c>
      <c r="L2872">
        <v>4.06</v>
      </c>
      <c r="M2872"/>
      <c r="N2872"/>
      <c r="O2872">
        <v>0.77</v>
      </c>
      <c r="P2872">
        <v>0.0</v>
      </c>
      <c r="Q2872">
        <v>9.12</v>
      </c>
      <c r="R2872"/>
      <c r="S2872"/>
      <c r="T2872"/>
      <c r="U2872"/>
      <c r="V2872"/>
      <c r="W2872">
        <v>18</v>
      </c>
    </row>
    <row r="2873" spans="1:23">
      <c r="A2873"/>
      <c r="B2873" t="s">
        <v>78</v>
      </c>
      <c r="C2873" t="s">
        <v>78</v>
      </c>
      <c r="D2873" t="s">
        <v>33</v>
      </c>
      <c r="E2873" t="s">
        <v>34</v>
      </c>
      <c r="F2873" t="str">
        <f>"0003175"</f>
        <v>0003175</v>
      </c>
      <c r="G2873">
        <v>1</v>
      </c>
      <c r="H2873" t="str">
        <f>"00000000"</f>
        <v>00000000</v>
      </c>
      <c r="I2873" t="s">
        <v>35</v>
      </c>
      <c r="J2873"/>
      <c r="K2873">
        <v>0.0</v>
      </c>
      <c r="L2873">
        <v>4.08</v>
      </c>
      <c r="M2873"/>
      <c r="N2873"/>
      <c r="O2873">
        <v>0.0</v>
      </c>
      <c r="P2873">
        <v>0.0</v>
      </c>
      <c r="Q2873">
        <v>4.08</v>
      </c>
      <c r="R2873"/>
      <c r="S2873"/>
      <c r="T2873"/>
      <c r="U2873"/>
      <c r="V2873"/>
      <c r="W2873">
        <v>18</v>
      </c>
    </row>
    <row r="2874" spans="1:23">
      <c r="A2874"/>
      <c r="B2874" t="s">
        <v>78</v>
      </c>
      <c r="C2874" t="s">
        <v>78</v>
      </c>
      <c r="D2874" t="s">
        <v>33</v>
      </c>
      <c r="E2874" t="s">
        <v>34</v>
      </c>
      <c r="F2874" t="str">
        <f>"0003176"</f>
        <v>0003176</v>
      </c>
      <c r="G2874">
        <v>1</v>
      </c>
      <c r="H2874" t="str">
        <f>"00000000"</f>
        <v>00000000</v>
      </c>
      <c r="I2874" t="s">
        <v>35</v>
      </c>
      <c r="J2874"/>
      <c r="K2874">
        <v>1.27</v>
      </c>
      <c r="L2874">
        <v>0.0</v>
      </c>
      <c r="M2874"/>
      <c r="N2874"/>
      <c r="O2874">
        <v>0.23</v>
      </c>
      <c r="P2874">
        <v>0.0</v>
      </c>
      <c r="Q2874">
        <v>1.5</v>
      </c>
      <c r="R2874"/>
      <c r="S2874"/>
      <c r="T2874"/>
      <c r="U2874"/>
      <c r="V2874"/>
      <c r="W2874">
        <v>18</v>
      </c>
    </row>
    <row r="2875" spans="1:23">
      <c r="A2875"/>
      <c r="B2875" t="s">
        <v>78</v>
      </c>
      <c r="C2875" t="s">
        <v>78</v>
      </c>
      <c r="D2875" t="s">
        <v>33</v>
      </c>
      <c r="E2875" t="s">
        <v>34</v>
      </c>
      <c r="F2875" t="str">
        <f>"0003177"</f>
        <v>0003177</v>
      </c>
      <c r="G2875">
        <v>1</v>
      </c>
      <c r="H2875" t="str">
        <f>"00000000"</f>
        <v>00000000</v>
      </c>
      <c r="I2875" t="s">
        <v>35</v>
      </c>
      <c r="J2875"/>
      <c r="K2875">
        <v>3.56</v>
      </c>
      <c r="L2875">
        <v>0.0</v>
      </c>
      <c r="M2875"/>
      <c r="N2875"/>
      <c r="O2875">
        <v>0.64</v>
      </c>
      <c r="P2875">
        <v>0.0</v>
      </c>
      <c r="Q2875">
        <v>4.2</v>
      </c>
      <c r="R2875"/>
      <c r="S2875"/>
      <c r="T2875"/>
      <c r="U2875"/>
      <c r="V2875"/>
      <c r="W2875">
        <v>18</v>
      </c>
    </row>
    <row r="2876" spans="1:23">
      <c r="A2876"/>
      <c r="B2876" t="s">
        <v>78</v>
      </c>
      <c r="C2876" t="s">
        <v>78</v>
      </c>
      <c r="D2876" t="s">
        <v>33</v>
      </c>
      <c r="E2876" t="s">
        <v>34</v>
      </c>
      <c r="F2876" t="str">
        <f>"0003178"</f>
        <v>0003178</v>
      </c>
      <c r="G2876">
        <v>1</v>
      </c>
      <c r="H2876" t="str">
        <f>"00000000"</f>
        <v>00000000</v>
      </c>
      <c r="I2876" t="s">
        <v>35</v>
      </c>
      <c r="J2876"/>
      <c r="K2876">
        <v>9.66</v>
      </c>
      <c r="L2876">
        <v>0.0</v>
      </c>
      <c r="M2876"/>
      <c r="N2876"/>
      <c r="O2876">
        <v>1.74</v>
      </c>
      <c r="P2876">
        <v>0.0</v>
      </c>
      <c r="Q2876">
        <v>11.4</v>
      </c>
      <c r="R2876"/>
      <c r="S2876"/>
      <c r="T2876"/>
      <c r="U2876"/>
      <c r="V2876"/>
      <c r="W2876">
        <v>18</v>
      </c>
    </row>
    <row r="2877" spans="1:23">
      <c r="A2877"/>
      <c r="B2877" t="s">
        <v>78</v>
      </c>
      <c r="C2877" t="s">
        <v>78</v>
      </c>
      <c r="D2877" t="s">
        <v>33</v>
      </c>
      <c r="E2877" t="s">
        <v>34</v>
      </c>
      <c r="F2877" t="str">
        <f>"0003179"</f>
        <v>0003179</v>
      </c>
      <c r="G2877">
        <v>1</v>
      </c>
      <c r="H2877" t="str">
        <f>"00000000"</f>
        <v>00000000</v>
      </c>
      <c r="I2877" t="s">
        <v>35</v>
      </c>
      <c r="J2877"/>
      <c r="K2877">
        <v>3.88</v>
      </c>
      <c r="L2877">
        <v>0.0</v>
      </c>
      <c r="M2877"/>
      <c r="N2877"/>
      <c r="O2877">
        <v>0.7</v>
      </c>
      <c r="P2877">
        <v>0.2</v>
      </c>
      <c r="Q2877">
        <v>4.78</v>
      </c>
      <c r="R2877"/>
      <c r="S2877"/>
      <c r="T2877"/>
      <c r="U2877"/>
      <c r="V2877"/>
      <c r="W2877">
        <v>18</v>
      </c>
    </row>
    <row r="2878" spans="1:23">
      <c r="A2878"/>
      <c r="B2878" t="s">
        <v>78</v>
      </c>
      <c r="C2878" t="s">
        <v>78</v>
      </c>
      <c r="D2878" t="s">
        <v>33</v>
      </c>
      <c r="E2878" t="s">
        <v>34</v>
      </c>
      <c r="F2878" t="str">
        <f>"0003180"</f>
        <v>0003180</v>
      </c>
      <c r="G2878">
        <v>1</v>
      </c>
      <c r="H2878" t="str">
        <f>"00000000"</f>
        <v>00000000</v>
      </c>
      <c r="I2878" t="s">
        <v>35</v>
      </c>
      <c r="J2878"/>
      <c r="K2878">
        <v>5.53</v>
      </c>
      <c r="L2878">
        <v>0.0</v>
      </c>
      <c r="M2878"/>
      <c r="N2878"/>
      <c r="O2878">
        <v>0.99</v>
      </c>
      <c r="P2878">
        <v>0.2</v>
      </c>
      <c r="Q2878">
        <v>6.72</v>
      </c>
      <c r="R2878"/>
      <c r="S2878"/>
      <c r="T2878"/>
      <c r="U2878"/>
      <c r="V2878"/>
      <c r="W2878">
        <v>18</v>
      </c>
    </row>
    <row r="2879" spans="1:23">
      <c r="A2879"/>
      <c r="B2879" t="s">
        <v>78</v>
      </c>
      <c r="C2879" t="s">
        <v>78</v>
      </c>
      <c r="D2879" t="s">
        <v>33</v>
      </c>
      <c r="E2879" t="s">
        <v>34</v>
      </c>
      <c r="F2879" t="str">
        <f>"0003181"</f>
        <v>0003181</v>
      </c>
      <c r="G2879">
        <v>1</v>
      </c>
      <c r="H2879" t="str">
        <f>"00000000"</f>
        <v>00000000</v>
      </c>
      <c r="I2879" t="s">
        <v>35</v>
      </c>
      <c r="J2879"/>
      <c r="K2879">
        <v>15.34</v>
      </c>
      <c r="L2879">
        <v>0.0</v>
      </c>
      <c r="M2879"/>
      <c r="N2879"/>
      <c r="O2879">
        <v>2.76</v>
      </c>
      <c r="P2879">
        <v>0.0</v>
      </c>
      <c r="Q2879">
        <v>18.1</v>
      </c>
      <c r="R2879"/>
      <c r="S2879"/>
      <c r="T2879"/>
      <c r="U2879"/>
      <c r="V2879"/>
      <c r="W2879">
        <v>18</v>
      </c>
    </row>
    <row r="2880" spans="1:23">
      <c r="A2880"/>
      <c r="B2880" t="s">
        <v>78</v>
      </c>
      <c r="C2880" t="s">
        <v>78</v>
      </c>
      <c r="D2880" t="s">
        <v>33</v>
      </c>
      <c r="E2880" t="s">
        <v>34</v>
      </c>
      <c r="F2880" t="str">
        <f>"0003182"</f>
        <v>0003182</v>
      </c>
      <c r="G2880">
        <v>1</v>
      </c>
      <c r="H2880" t="str">
        <f>"00000000"</f>
        <v>00000000</v>
      </c>
      <c r="I2880" t="s">
        <v>35</v>
      </c>
      <c r="J2880"/>
      <c r="K2880">
        <v>4.58</v>
      </c>
      <c r="L2880">
        <v>0.0</v>
      </c>
      <c r="M2880"/>
      <c r="N2880"/>
      <c r="O2880">
        <v>0.82</v>
      </c>
      <c r="P2880">
        <v>0.0</v>
      </c>
      <c r="Q2880">
        <v>5.4</v>
      </c>
      <c r="R2880"/>
      <c r="S2880"/>
      <c r="T2880"/>
      <c r="U2880"/>
      <c r="V2880"/>
      <c r="W2880">
        <v>18</v>
      </c>
    </row>
    <row r="2881" spans="1:23">
      <c r="A2881"/>
      <c r="B2881" t="s">
        <v>78</v>
      </c>
      <c r="C2881" t="s">
        <v>78</v>
      </c>
      <c r="D2881" t="s">
        <v>33</v>
      </c>
      <c r="E2881" t="s">
        <v>34</v>
      </c>
      <c r="F2881" t="str">
        <f>"0003183"</f>
        <v>0003183</v>
      </c>
      <c r="G2881">
        <v>1</v>
      </c>
      <c r="H2881" t="str">
        <f>"00000000"</f>
        <v>00000000</v>
      </c>
      <c r="I2881" t="s">
        <v>35</v>
      </c>
      <c r="J2881"/>
      <c r="K2881">
        <v>16.05</v>
      </c>
      <c r="L2881">
        <v>5.19</v>
      </c>
      <c r="M2881"/>
      <c r="N2881"/>
      <c r="O2881">
        <v>2.89</v>
      </c>
      <c r="P2881">
        <v>0.0</v>
      </c>
      <c r="Q2881">
        <v>24.12</v>
      </c>
      <c r="R2881"/>
      <c r="S2881"/>
      <c r="T2881"/>
      <c r="U2881"/>
      <c r="V2881"/>
      <c r="W2881">
        <v>18</v>
      </c>
    </row>
    <row r="2882" spans="1:23">
      <c r="A2882"/>
      <c r="B2882" t="s">
        <v>78</v>
      </c>
      <c r="C2882" t="s">
        <v>78</v>
      </c>
      <c r="D2882" t="s">
        <v>33</v>
      </c>
      <c r="E2882" t="s">
        <v>34</v>
      </c>
      <c r="F2882" t="str">
        <f>"0003184"</f>
        <v>0003184</v>
      </c>
      <c r="G2882">
        <v>1</v>
      </c>
      <c r="H2882" t="str">
        <f>"00000000"</f>
        <v>00000000</v>
      </c>
      <c r="I2882" t="s">
        <v>35</v>
      </c>
      <c r="J2882"/>
      <c r="K2882">
        <v>0.02</v>
      </c>
      <c r="L2882">
        <v>0.0</v>
      </c>
      <c r="M2882"/>
      <c r="N2882"/>
      <c r="O2882">
        <v>0.0</v>
      </c>
      <c r="P2882">
        <v>0.2</v>
      </c>
      <c r="Q2882">
        <v>0.22</v>
      </c>
      <c r="R2882"/>
      <c r="S2882"/>
      <c r="T2882"/>
      <c r="U2882"/>
      <c r="V2882"/>
      <c r="W2882">
        <v>18</v>
      </c>
    </row>
    <row r="2883" spans="1:23">
      <c r="A2883"/>
      <c r="B2883" t="s">
        <v>78</v>
      </c>
      <c r="C2883" t="s">
        <v>78</v>
      </c>
      <c r="D2883" t="s">
        <v>33</v>
      </c>
      <c r="E2883" t="s">
        <v>34</v>
      </c>
      <c r="F2883" t="str">
        <f>"0003185"</f>
        <v>0003185</v>
      </c>
      <c r="G2883">
        <v>1</v>
      </c>
      <c r="H2883" t="str">
        <f>"00000000"</f>
        <v>00000000</v>
      </c>
      <c r="I2883" t="s">
        <v>35</v>
      </c>
      <c r="J2883"/>
      <c r="K2883">
        <v>5.08</v>
      </c>
      <c r="L2883">
        <v>0.0</v>
      </c>
      <c r="M2883"/>
      <c r="N2883"/>
      <c r="O2883">
        <v>0.92</v>
      </c>
      <c r="P2883">
        <v>0.0</v>
      </c>
      <c r="Q2883">
        <v>6.0</v>
      </c>
      <c r="R2883"/>
      <c r="S2883"/>
      <c r="T2883"/>
      <c r="U2883"/>
      <c r="V2883"/>
      <c r="W2883">
        <v>18</v>
      </c>
    </row>
    <row r="2884" spans="1:23">
      <c r="A2884"/>
      <c r="B2884" t="s">
        <v>78</v>
      </c>
      <c r="C2884" t="s">
        <v>78</v>
      </c>
      <c r="D2884" t="s">
        <v>33</v>
      </c>
      <c r="E2884" t="s">
        <v>34</v>
      </c>
      <c r="F2884" t="str">
        <f>"0003186"</f>
        <v>0003186</v>
      </c>
      <c r="G2884">
        <v>1</v>
      </c>
      <c r="H2884" t="str">
        <f>"00000000"</f>
        <v>00000000</v>
      </c>
      <c r="I2884" t="s">
        <v>35</v>
      </c>
      <c r="J2884"/>
      <c r="K2884">
        <v>3.81</v>
      </c>
      <c r="L2884">
        <v>0.0</v>
      </c>
      <c r="M2884"/>
      <c r="N2884"/>
      <c r="O2884">
        <v>0.69</v>
      </c>
      <c r="P2884">
        <v>0.0</v>
      </c>
      <c r="Q2884">
        <v>4.5</v>
      </c>
      <c r="R2884"/>
      <c r="S2884"/>
      <c r="T2884"/>
      <c r="U2884"/>
      <c r="V2884"/>
      <c r="W2884">
        <v>18</v>
      </c>
    </row>
    <row r="2885" spans="1:23">
      <c r="A2885"/>
      <c r="B2885" t="s">
        <v>78</v>
      </c>
      <c r="C2885" t="s">
        <v>78</v>
      </c>
      <c r="D2885" t="s">
        <v>33</v>
      </c>
      <c r="E2885" t="s">
        <v>34</v>
      </c>
      <c r="F2885" t="str">
        <f>"0003187"</f>
        <v>0003187</v>
      </c>
      <c r="G2885">
        <v>1</v>
      </c>
      <c r="H2885" t="str">
        <f>"00000000"</f>
        <v>00000000</v>
      </c>
      <c r="I2885" t="s">
        <v>35</v>
      </c>
      <c r="J2885"/>
      <c r="K2885">
        <v>0.02</v>
      </c>
      <c r="L2885">
        <v>0.0</v>
      </c>
      <c r="M2885"/>
      <c r="N2885"/>
      <c r="O2885">
        <v>0.0</v>
      </c>
      <c r="P2885">
        <v>0.2</v>
      </c>
      <c r="Q2885">
        <v>0.22</v>
      </c>
      <c r="R2885"/>
      <c r="S2885"/>
      <c r="T2885"/>
      <c r="U2885"/>
      <c r="V2885"/>
      <c r="W2885">
        <v>18</v>
      </c>
    </row>
    <row r="2886" spans="1:23">
      <c r="A2886"/>
      <c r="B2886" t="s">
        <v>78</v>
      </c>
      <c r="C2886" t="s">
        <v>78</v>
      </c>
      <c r="D2886" t="s">
        <v>33</v>
      </c>
      <c r="E2886" t="s">
        <v>34</v>
      </c>
      <c r="F2886" t="str">
        <f>"0003188"</f>
        <v>0003188</v>
      </c>
      <c r="G2886">
        <v>1</v>
      </c>
      <c r="H2886" t="str">
        <f>"00000000"</f>
        <v>00000000</v>
      </c>
      <c r="I2886" t="s">
        <v>35</v>
      </c>
      <c r="J2886"/>
      <c r="K2886">
        <v>55.52</v>
      </c>
      <c r="L2886">
        <v>20.92</v>
      </c>
      <c r="M2886"/>
      <c r="N2886"/>
      <c r="O2886">
        <v>9.99</v>
      </c>
      <c r="P2886">
        <v>0.0</v>
      </c>
      <c r="Q2886">
        <v>86.44</v>
      </c>
      <c r="R2886"/>
      <c r="S2886"/>
      <c r="T2886"/>
      <c r="U2886"/>
      <c r="V2886"/>
      <c r="W2886">
        <v>18</v>
      </c>
    </row>
    <row r="2887" spans="1:23">
      <c r="A2887"/>
      <c r="B2887" t="s">
        <v>78</v>
      </c>
      <c r="C2887" t="s">
        <v>78</v>
      </c>
      <c r="D2887" t="s">
        <v>33</v>
      </c>
      <c r="E2887" t="s">
        <v>34</v>
      </c>
      <c r="F2887" t="str">
        <f>"0003189"</f>
        <v>0003189</v>
      </c>
      <c r="G2887">
        <v>1</v>
      </c>
      <c r="H2887" t="str">
        <f>"00000000"</f>
        <v>00000000</v>
      </c>
      <c r="I2887" t="s">
        <v>35</v>
      </c>
      <c r="J2887"/>
      <c r="K2887">
        <v>8.13</v>
      </c>
      <c r="L2887">
        <v>6.39</v>
      </c>
      <c r="M2887"/>
      <c r="N2887"/>
      <c r="O2887">
        <v>1.46</v>
      </c>
      <c r="P2887">
        <v>0.2</v>
      </c>
      <c r="Q2887">
        <v>16.17</v>
      </c>
      <c r="R2887"/>
      <c r="S2887"/>
      <c r="T2887"/>
      <c r="U2887"/>
      <c r="V2887"/>
      <c r="W2887">
        <v>18</v>
      </c>
    </row>
    <row r="2888" spans="1:23">
      <c r="A2888"/>
      <c r="B2888" t="s">
        <v>78</v>
      </c>
      <c r="C2888" t="s">
        <v>78</v>
      </c>
      <c r="D2888" t="s">
        <v>33</v>
      </c>
      <c r="E2888" t="s">
        <v>34</v>
      </c>
      <c r="F2888" t="str">
        <f>"0003190"</f>
        <v>0003190</v>
      </c>
      <c r="G2888">
        <v>1</v>
      </c>
      <c r="H2888" t="str">
        <f>"00000000"</f>
        <v>00000000</v>
      </c>
      <c r="I2888" t="s">
        <v>35</v>
      </c>
      <c r="J2888"/>
      <c r="K2888">
        <v>1.53</v>
      </c>
      <c r="L2888">
        <v>0.0</v>
      </c>
      <c r="M2888"/>
      <c r="N2888"/>
      <c r="O2888">
        <v>0.27</v>
      </c>
      <c r="P2888">
        <v>0.0</v>
      </c>
      <c r="Q2888">
        <v>1.8</v>
      </c>
      <c r="R2888"/>
      <c r="S2888"/>
      <c r="T2888"/>
      <c r="U2888"/>
      <c r="V2888"/>
      <c r="W2888">
        <v>18</v>
      </c>
    </row>
    <row r="2889" spans="1:23">
      <c r="A2889"/>
      <c r="B2889" t="s">
        <v>78</v>
      </c>
      <c r="C2889" t="s">
        <v>78</v>
      </c>
      <c r="D2889" t="s">
        <v>33</v>
      </c>
      <c r="E2889" t="s">
        <v>34</v>
      </c>
      <c r="F2889" t="str">
        <f>"0003191"</f>
        <v>0003191</v>
      </c>
      <c r="G2889">
        <v>1</v>
      </c>
      <c r="H2889" t="str">
        <f>"00000000"</f>
        <v>00000000</v>
      </c>
      <c r="I2889" t="s">
        <v>35</v>
      </c>
      <c r="J2889"/>
      <c r="K2889">
        <v>10.02</v>
      </c>
      <c r="L2889">
        <v>0.0</v>
      </c>
      <c r="M2889"/>
      <c r="N2889"/>
      <c r="O2889">
        <v>1.8</v>
      </c>
      <c r="P2889">
        <v>0.2</v>
      </c>
      <c r="Q2889">
        <v>12.02</v>
      </c>
      <c r="R2889"/>
      <c r="S2889"/>
      <c r="T2889"/>
      <c r="U2889"/>
      <c r="V2889"/>
      <c r="W2889">
        <v>18</v>
      </c>
    </row>
    <row r="2890" spans="1:23">
      <c r="A2890"/>
      <c r="B2890" t="s">
        <v>78</v>
      </c>
      <c r="C2890" t="s">
        <v>78</v>
      </c>
      <c r="D2890" t="s">
        <v>33</v>
      </c>
      <c r="E2890" t="s">
        <v>34</v>
      </c>
      <c r="F2890" t="str">
        <f>"0003192"</f>
        <v>0003192</v>
      </c>
      <c r="G2890">
        <v>1</v>
      </c>
      <c r="H2890" t="str">
        <f>"00000000"</f>
        <v>00000000</v>
      </c>
      <c r="I2890" t="s">
        <v>35</v>
      </c>
      <c r="J2890"/>
      <c r="K2890">
        <v>1.86</v>
      </c>
      <c r="L2890">
        <v>0.0</v>
      </c>
      <c r="M2890"/>
      <c r="N2890"/>
      <c r="O2890">
        <v>0.34</v>
      </c>
      <c r="P2890">
        <v>0.0</v>
      </c>
      <c r="Q2890">
        <v>2.2</v>
      </c>
      <c r="R2890"/>
      <c r="S2890"/>
      <c r="T2890"/>
      <c r="U2890"/>
      <c r="V2890"/>
      <c r="W2890">
        <v>18</v>
      </c>
    </row>
    <row r="2891" spans="1:23">
      <c r="A2891"/>
      <c r="B2891" t="s">
        <v>78</v>
      </c>
      <c r="C2891" t="s">
        <v>78</v>
      </c>
      <c r="D2891" t="s">
        <v>33</v>
      </c>
      <c r="E2891" t="s">
        <v>34</v>
      </c>
      <c r="F2891" t="str">
        <f>"0003193"</f>
        <v>0003193</v>
      </c>
      <c r="G2891">
        <v>1</v>
      </c>
      <c r="H2891" t="str">
        <f>"00000000"</f>
        <v>00000000</v>
      </c>
      <c r="I2891" t="s">
        <v>35</v>
      </c>
      <c r="J2891"/>
      <c r="K2891">
        <v>13.39</v>
      </c>
      <c r="L2891">
        <v>0.0</v>
      </c>
      <c r="M2891"/>
      <c r="N2891"/>
      <c r="O2891">
        <v>2.41</v>
      </c>
      <c r="P2891">
        <v>0.0</v>
      </c>
      <c r="Q2891">
        <v>15.8</v>
      </c>
      <c r="R2891"/>
      <c r="S2891"/>
      <c r="T2891"/>
      <c r="U2891"/>
      <c r="V2891"/>
      <c r="W2891">
        <v>18</v>
      </c>
    </row>
    <row r="2892" spans="1:23">
      <c r="A2892"/>
      <c r="B2892" t="s">
        <v>78</v>
      </c>
      <c r="C2892" t="s">
        <v>78</v>
      </c>
      <c r="D2892" t="s">
        <v>33</v>
      </c>
      <c r="E2892" t="s">
        <v>34</v>
      </c>
      <c r="F2892" t="str">
        <f>"0003194"</f>
        <v>0003194</v>
      </c>
      <c r="G2892">
        <v>1</v>
      </c>
      <c r="H2892" t="str">
        <f>"00000000"</f>
        <v>00000000</v>
      </c>
      <c r="I2892" t="s">
        <v>35</v>
      </c>
      <c r="J2892"/>
      <c r="K2892">
        <v>13.05</v>
      </c>
      <c r="L2892">
        <v>0.0</v>
      </c>
      <c r="M2892"/>
      <c r="N2892"/>
      <c r="O2892">
        <v>2.35</v>
      </c>
      <c r="P2892">
        <v>0.0</v>
      </c>
      <c r="Q2892">
        <v>15.4</v>
      </c>
      <c r="R2892"/>
      <c r="S2892"/>
      <c r="T2892"/>
      <c r="U2892"/>
      <c r="V2892"/>
      <c r="W2892">
        <v>18</v>
      </c>
    </row>
    <row r="2893" spans="1:23">
      <c r="A2893"/>
      <c r="B2893" t="s">
        <v>78</v>
      </c>
      <c r="C2893" t="s">
        <v>78</v>
      </c>
      <c r="D2893" t="s">
        <v>33</v>
      </c>
      <c r="E2893" t="s">
        <v>34</v>
      </c>
      <c r="F2893" t="str">
        <f>"0003195"</f>
        <v>0003195</v>
      </c>
      <c r="G2893">
        <v>1</v>
      </c>
      <c r="H2893" t="str">
        <f>"00000000"</f>
        <v>00000000</v>
      </c>
      <c r="I2893" t="s">
        <v>35</v>
      </c>
      <c r="J2893"/>
      <c r="K2893">
        <v>55.24</v>
      </c>
      <c r="L2893">
        <v>0.0</v>
      </c>
      <c r="M2893"/>
      <c r="N2893"/>
      <c r="O2893">
        <v>9.94</v>
      </c>
      <c r="P2893">
        <v>0.0</v>
      </c>
      <c r="Q2893">
        <v>65.19</v>
      </c>
      <c r="R2893"/>
      <c r="S2893"/>
      <c r="T2893"/>
      <c r="U2893"/>
      <c r="V2893"/>
      <c r="W2893">
        <v>18</v>
      </c>
    </row>
    <row r="2894" spans="1:23">
      <c r="A2894"/>
      <c r="B2894" t="s">
        <v>78</v>
      </c>
      <c r="C2894" t="s">
        <v>78</v>
      </c>
      <c r="D2894" t="s">
        <v>33</v>
      </c>
      <c r="E2894" t="s">
        <v>34</v>
      </c>
      <c r="F2894" t="str">
        <f>"0003196"</f>
        <v>0003196</v>
      </c>
      <c r="G2894">
        <v>1</v>
      </c>
      <c r="H2894" t="str">
        <f>"00000000"</f>
        <v>00000000</v>
      </c>
      <c r="I2894" t="s">
        <v>35</v>
      </c>
      <c r="J2894"/>
      <c r="K2894">
        <v>0.02</v>
      </c>
      <c r="L2894">
        <v>0.0</v>
      </c>
      <c r="M2894"/>
      <c r="N2894"/>
      <c r="O2894">
        <v>0.0</v>
      </c>
      <c r="P2894">
        <v>0.2</v>
      </c>
      <c r="Q2894">
        <v>0.22</v>
      </c>
      <c r="R2894"/>
      <c r="S2894"/>
      <c r="T2894"/>
      <c r="U2894"/>
      <c r="V2894"/>
      <c r="W2894">
        <v>18</v>
      </c>
    </row>
    <row r="2895" spans="1:23">
      <c r="A2895"/>
      <c r="B2895" t="s">
        <v>78</v>
      </c>
      <c r="C2895" t="s">
        <v>78</v>
      </c>
      <c r="D2895" t="s">
        <v>33</v>
      </c>
      <c r="E2895" t="s">
        <v>34</v>
      </c>
      <c r="F2895" t="str">
        <f>"0003197"</f>
        <v>0003197</v>
      </c>
      <c r="G2895">
        <v>1</v>
      </c>
      <c r="H2895" t="str">
        <f>"00000000"</f>
        <v>00000000</v>
      </c>
      <c r="I2895" t="s">
        <v>35</v>
      </c>
      <c r="J2895"/>
      <c r="K2895">
        <v>0.02</v>
      </c>
      <c r="L2895">
        <v>0.0</v>
      </c>
      <c r="M2895"/>
      <c r="N2895"/>
      <c r="O2895">
        <v>0.0</v>
      </c>
      <c r="P2895">
        <v>0.2</v>
      </c>
      <c r="Q2895">
        <v>0.22</v>
      </c>
      <c r="R2895"/>
      <c r="S2895"/>
      <c r="T2895"/>
      <c r="U2895"/>
      <c r="V2895"/>
      <c r="W2895">
        <v>18</v>
      </c>
    </row>
    <row r="2896" spans="1:23">
      <c r="A2896"/>
      <c r="B2896" t="s">
        <v>78</v>
      </c>
      <c r="C2896" t="s">
        <v>78</v>
      </c>
      <c r="D2896" t="s">
        <v>33</v>
      </c>
      <c r="E2896" t="s">
        <v>34</v>
      </c>
      <c r="F2896" t="str">
        <f>"0003198"</f>
        <v>0003198</v>
      </c>
      <c r="G2896">
        <v>1</v>
      </c>
      <c r="H2896" t="str">
        <f>"00000000"</f>
        <v>00000000</v>
      </c>
      <c r="I2896" t="s">
        <v>35</v>
      </c>
      <c r="J2896"/>
      <c r="K2896">
        <v>12.12</v>
      </c>
      <c r="L2896">
        <v>0.0</v>
      </c>
      <c r="M2896"/>
      <c r="N2896"/>
      <c r="O2896">
        <v>2.18</v>
      </c>
      <c r="P2896">
        <v>0.0</v>
      </c>
      <c r="Q2896">
        <v>14.3</v>
      </c>
      <c r="R2896"/>
      <c r="S2896"/>
      <c r="T2896"/>
      <c r="U2896"/>
      <c r="V2896"/>
      <c r="W2896">
        <v>18</v>
      </c>
    </row>
    <row r="2897" spans="1:23">
      <c r="A2897"/>
      <c r="B2897" t="s">
        <v>78</v>
      </c>
      <c r="C2897" t="s">
        <v>78</v>
      </c>
      <c r="D2897" t="s">
        <v>33</v>
      </c>
      <c r="E2897" t="s">
        <v>34</v>
      </c>
      <c r="F2897" t="str">
        <f>"0003199"</f>
        <v>0003199</v>
      </c>
      <c r="G2897">
        <v>1</v>
      </c>
      <c r="H2897" t="str">
        <f>"00000000"</f>
        <v>00000000</v>
      </c>
      <c r="I2897" t="s">
        <v>35</v>
      </c>
      <c r="J2897"/>
      <c r="K2897">
        <v>9.92</v>
      </c>
      <c r="L2897">
        <v>0.0</v>
      </c>
      <c r="M2897"/>
      <c r="N2897"/>
      <c r="O2897">
        <v>1.78</v>
      </c>
      <c r="P2897">
        <v>0.0</v>
      </c>
      <c r="Q2897">
        <v>11.7</v>
      </c>
      <c r="R2897"/>
      <c r="S2897"/>
      <c r="T2897"/>
      <c r="U2897"/>
      <c r="V2897"/>
      <c r="W2897">
        <v>18</v>
      </c>
    </row>
    <row r="2898" spans="1:23">
      <c r="A2898"/>
      <c r="B2898" t="s">
        <v>78</v>
      </c>
      <c r="C2898" t="s">
        <v>78</v>
      </c>
      <c r="D2898" t="s">
        <v>33</v>
      </c>
      <c r="E2898" t="s">
        <v>34</v>
      </c>
      <c r="F2898" t="str">
        <f>"0003200"</f>
        <v>0003200</v>
      </c>
      <c r="G2898">
        <v>1</v>
      </c>
      <c r="H2898" t="str">
        <f>"00000000"</f>
        <v>00000000</v>
      </c>
      <c r="I2898" t="s">
        <v>35</v>
      </c>
      <c r="J2898"/>
      <c r="K2898">
        <v>1.02</v>
      </c>
      <c r="L2898">
        <v>0.0</v>
      </c>
      <c r="M2898"/>
      <c r="N2898"/>
      <c r="O2898">
        <v>0.18</v>
      </c>
      <c r="P2898">
        <v>0.0</v>
      </c>
      <c r="Q2898">
        <v>1.2</v>
      </c>
      <c r="R2898"/>
      <c r="S2898"/>
      <c r="T2898"/>
      <c r="U2898"/>
      <c r="V2898"/>
      <c r="W2898">
        <v>18</v>
      </c>
    </row>
    <row r="2899" spans="1:23">
      <c r="A2899"/>
      <c r="B2899" t="s">
        <v>78</v>
      </c>
      <c r="C2899" t="s">
        <v>78</v>
      </c>
      <c r="D2899" t="s">
        <v>33</v>
      </c>
      <c r="E2899" t="s">
        <v>34</v>
      </c>
      <c r="F2899" t="str">
        <f>"0003201"</f>
        <v>0003201</v>
      </c>
      <c r="G2899">
        <v>1</v>
      </c>
      <c r="H2899" t="str">
        <f>"00000000"</f>
        <v>00000000</v>
      </c>
      <c r="I2899" t="s">
        <v>35</v>
      </c>
      <c r="J2899"/>
      <c r="K2899">
        <v>3.82</v>
      </c>
      <c r="L2899">
        <v>0.0</v>
      </c>
      <c r="M2899"/>
      <c r="N2899"/>
      <c r="O2899">
        <v>0.69</v>
      </c>
      <c r="P2899">
        <v>0.0</v>
      </c>
      <c r="Q2899">
        <v>4.51</v>
      </c>
      <c r="R2899"/>
      <c r="S2899"/>
      <c r="T2899"/>
      <c r="U2899"/>
      <c r="V2899"/>
      <c r="W2899">
        <v>18</v>
      </c>
    </row>
    <row r="2900" spans="1:23">
      <c r="A2900"/>
      <c r="B2900" t="s">
        <v>78</v>
      </c>
      <c r="C2900" t="s">
        <v>78</v>
      </c>
      <c r="D2900" t="s">
        <v>33</v>
      </c>
      <c r="E2900" t="s">
        <v>34</v>
      </c>
      <c r="F2900" t="str">
        <f>"0003202"</f>
        <v>0003202</v>
      </c>
      <c r="G2900">
        <v>1</v>
      </c>
      <c r="H2900" t="str">
        <f>"00000000"</f>
        <v>00000000</v>
      </c>
      <c r="I2900" t="s">
        <v>35</v>
      </c>
      <c r="J2900"/>
      <c r="K2900">
        <v>12.63</v>
      </c>
      <c r="L2900">
        <v>0.0</v>
      </c>
      <c r="M2900"/>
      <c r="N2900"/>
      <c r="O2900">
        <v>2.27</v>
      </c>
      <c r="P2900">
        <v>0.0</v>
      </c>
      <c r="Q2900">
        <v>14.9</v>
      </c>
      <c r="R2900"/>
      <c r="S2900"/>
      <c r="T2900"/>
      <c r="U2900"/>
      <c r="V2900"/>
      <c r="W2900">
        <v>18</v>
      </c>
    </row>
    <row r="2901" spans="1:23">
      <c r="A2901"/>
      <c r="B2901" t="s">
        <v>78</v>
      </c>
      <c r="C2901" t="s">
        <v>78</v>
      </c>
      <c r="D2901" t="s">
        <v>33</v>
      </c>
      <c r="E2901" t="s">
        <v>34</v>
      </c>
      <c r="F2901" t="str">
        <f>"0003203"</f>
        <v>0003203</v>
      </c>
      <c r="G2901">
        <v>1</v>
      </c>
      <c r="H2901" t="str">
        <f>"00000000"</f>
        <v>00000000</v>
      </c>
      <c r="I2901" t="s">
        <v>35</v>
      </c>
      <c r="J2901"/>
      <c r="K2901">
        <v>49.38</v>
      </c>
      <c r="L2901">
        <v>0.0</v>
      </c>
      <c r="M2901"/>
      <c r="N2901"/>
      <c r="O2901">
        <v>8.89</v>
      </c>
      <c r="P2901">
        <v>0.2</v>
      </c>
      <c r="Q2901">
        <v>58.46</v>
      </c>
      <c r="R2901"/>
      <c r="S2901"/>
      <c r="T2901"/>
      <c r="U2901"/>
      <c r="V2901"/>
      <c r="W2901">
        <v>18</v>
      </c>
    </row>
    <row r="2902" spans="1:23">
      <c r="A2902"/>
      <c r="B2902" t="s">
        <v>78</v>
      </c>
      <c r="C2902" t="s">
        <v>78</v>
      </c>
      <c r="D2902" t="s">
        <v>33</v>
      </c>
      <c r="E2902" t="s">
        <v>34</v>
      </c>
      <c r="F2902" t="str">
        <f>"0003204"</f>
        <v>0003204</v>
      </c>
      <c r="G2902">
        <v>1</v>
      </c>
      <c r="H2902" t="str">
        <f>"00000000"</f>
        <v>00000000</v>
      </c>
      <c r="I2902" t="s">
        <v>35</v>
      </c>
      <c r="J2902"/>
      <c r="K2902">
        <v>0.02</v>
      </c>
      <c r="L2902">
        <v>0.0</v>
      </c>
      <c r="M2902"/>
      <c r="N2902"/>
      <c r="O2902">
        <v>0.0</v>
      </c>
      <c r="P2902">
        <v>0.2</v>
      </c>
      <c r="Q2902">
        <v>0.22</v>
      </c>
      <c r="R2902"/>
      <c r="S2902"/>
      <c r="T2902"/>
      <c r="U2902"/>
      <c r="V2902"/>
      <c r="W2902">
        <v>18</v>
      </c>
    </row>
    <row r="2903" spans="1:23">
      <c r="A2903"/>
      <c r="B2903" t="s">
        <v>78</v>
      </c>
      <c r="C2903" t="s">
        <v>78</v>
      </c>
      <c r="D2903" t="s">
        <v>33</v>
      </c>
      <c r="E2903" t="s">
        <v>34</v>
      </c>
      <c r="F2903" t="str">
        <f>"0003205"</f>
        <v>0003205</v>
      </c>
      <c r="G2903">
        <v>1</v>
      </c>
      <c r="H2903" t="str">
        <f>"00000000"</f>
        <v>00000000</v>
      </c>
      <c r="I2903" t="s">
        <v>35</v>
      </c>
      <c r="J2903"/>
      <c r="K2903">
        <v>14.63</v>
      </c>
      <c r="L2903">
        <v>0.0</v>
      </c>
      <c r="M2903"/>
      <c r="N2903"/>
      <c r="O2903">
        <v>2.63</v>
      </c>
      <c r="P2903">
        <v>0.2</v>
      </c>
      <c r="Q2903">
        <v>17.46</v>
      </c>
      <c r="R2903"/>
      <c r="S2903"/>
      <c r="T2903"/>
      <c r="U2903"/>
      <c r="V2903"/>
      <c r="W2903">
        <v>18</v>
      </c>
    </row>
    <row r="2904" spans="1:23">
      <c r="A2904"/>
      <c r="B2904" t="s">
        <v>78</v>
      </c>
      <c r="C2904" t="s">
        <v>78</v>
      </c>
      <c r="D2904" t="s">
        <v>33</v>
      </c>
      <c r="E2904" t="s">
        <v>34</v>
      </c>
      <c r="F2904" t="str">
        <f>"0003206"</f>
        <v>0003206</v>
      </c>
      <c r="G2904">
        <v>1</v>
      </c>
      <c r="H2904" t="str">
        <f>"00000000"</f>
        <v>00000000</v>
      </c>
      <c r="I2904" t="s">
        <v>35</v>
      </c>
      <c r="J2904"/>
      <c r="K2904">
        <v>3.02</v>
      </c>
      <c r="L2904">
        <v>4.26</v>
      </c>
      <c r="M2904"/>
      <c r="N2904"/>
      <c r="O2904">
        <v>0.54</v>
      </c>
      <c r="P2904">
        <v>0.0</v>
      </c>
      <c r="Q2904">
        <v>7.82</v>
      </c>
      <c r="R2904"/>
      <c r="S2904"/>
      <c r="T2904"/>
      <c r="U2904"/>
      <c r="V2904"/>
      <c r="W2904">
        <v>18</v>
      </c>
    </row>
    <row r="2905" spans="1:23">
      <c r="A2905"/>
      <c r="B2905" t="s">
        <v>78</v>
      </c>
      <c r="C2905" t="s">
        <v>78</v>
      </c>
      <c r="D2905" t="s">
        <v>33</v>
      </c>
      <c r="E2905" t="s">
        <v>34</v>
      </c>
      <c r="F2905" t="str">
        <f>"0003207"</f>
        <v>0003207</v>
      </c>
      <c r="G2905">
        <v>1</v>
      </c>
      <c r="H2905" t="str">
        <f>"00000000"</f>
        <v>00000000</v>
      </c>
      <c r="I2905" t="s">
        <v>35</v>
      </c>
      <c r="J2905"/>
      <c r="K2905">
        <v>1.61</v>
      </c>
      <c r="L2905">
        <v>0.0</v>
      </c>
      <c r="M2905"/>
      <c r="N2905"/>
      <c r="O2905">
        <v>0.29</v>
      </c>
      <c r="P2905">
        <v>0.0</v>
      </c>
      <c r="Q2905">
        <v>1.9</v>
      </c>
      <c r="R2905"/>
      <c r="S2905"/>
      <c r="T2905"/>
      <c r="U2905"/>
      <c r="V2905"/>
      <c r="W2905">
        <v>18</v>
      </c>
    </row>
    <row r="2906" spans="1:23">
      <c r="A2906"/>
      <c r="B2906" t="s">
        <v>78</v>
      </c>
      <c r="C2906" t="s">
        <v>78</v>
      </c>
      <c r="D2906" t="s">
        <v>33</v>
      </c>
      <c r="E2906" t="s">
        <v>34</v>
      </c>
      <c r="F2906" t="str">
        <f>"0003208"</f>
        <v>0003208</v>
      </c>
      <c r="G2906">
        <v>1</v>
      </c>
      <c r="H2906" t="str">
        <f>"00000000"</f>
        <v>00000000</v>
      </c>
      <c r="I2906" t="s">
        <v>35</v>
      </c>
      <c r="J2906"/>
      <c r="K2906">
        <v>7.71</v>
      </c>
      <c r="L2906">
        <v>0.0</v>
      </c>
      <c r="M2906"/>
      <c r="N2906"/>
      <c r="O2906">
        <v>1.39</v>
      </c>
      <c r="P2906">
        <v>0.0</v>
      </c>
      <c r="Q2906">
        <v>9.1</v>
      </c>
      <c r="R2906"/>
      <c r="S2906"/>
      <c r="T2906"/>
      <c r="U2906"/>
      <c r="V2906"/>
      <c r="W2906">
        <v>18</v>
      </c>
    </row>
    <row r="2907" spans="1:23">
      <c r="A2907"/>
      <c r="B2907" t="s">
        <v>78</v>
      </c>
      <c r="C2907" t="s">
        <v>78</v>
      </c>
      <c r="D2907" t="s">
        <v>33</v>
      </c>
      <c r="E2907" t="s">
        <v>34</v>
      </c>
      <c r="F2907" t="str">
        <f>"0003209"</f>
        <v>0003209</v>
      </c>
      <c r="G2907">
        <v>1</v>
      </c>
      <c r="H2907" t="str">
        <f>"00000000"</f>
        <v>00000000</v>
      </c>
      <c r="I2907" t="s">
        <v>35</v>
      </c>
      <c r="J2907"/>
      <c r="K2907">
        <v>1.86</v>
      </c>
      <c r="L2907">
        <v>0.0</v>
      </c>
      <c r="M2907"/>
      <c r="N2907"/>
      <c r="O2907">
        <v>0.34</v>
      </c>
      <c r="P2907">
        <v>0.0</v>
      </c>
      <c r="Q2907">
        <v>2.2</v>
      </c>
      <c r="R2907"/>
      <c r="S2907"/>
      <c r="T2907"/>
      <c r="U2907"/>
      <c r="V2907"/>
      <c r="W2907">
        <v>18</v>
      </c>
    </row>
    <row r="2908" spans="1:23">
      <c r="A2908"/>
      <c r="B2908" t="s">
        <v>78</v>
      </c>
      <c r="C2908" t="s">
        <v>78</v>
      </c>
      <c r="D2908" t="s">
        <v>33</v>
      </c>
      <c r="E2908" t="s">
        <v>34</v>
      </c>
      <c r="F2908" t="str">
        <f>"0003210"</f>
        <v>0003210</v>
      </c>
      <c r="G2908">
        <v>1</v>
      </c>
      <c r="H2908" t="str">
        <f>"00000000"</f>
        <v>00000000</v>
      </c>
      <c r="I2908" t="s">
        <v>35</v>
      </c>
      <c r="J2908"/>
      <c r="K2908">
        <v>31.95</v>
      </c>
      <c r="L2908">
        <v>0.0</v>
      </c>
      <c r="M2908"/>
      <c r="N2908"/>
      <c r="O2908">
        <v>5.75</v>
      </c>
      <c r="P2908">
        <v>0.0</v>
      </c>
      <c r="Q2908">
        <v>37.7</v>
      </c>
      <c r="R2908"/>
      <c r="S2908"/>
      <c r="T2908"/>
      <c r="U2908"/>
      <c r="V2908"/>
      <c r="W2908">
        <v>18</v>
      </c>
    </row>
    <row r="2909" spans="1:23">
      <c r="A2909"/>
      <c r="B2909" t="s">
        <v>78</v>
      </c>
      <c r="C2909" t="s">
        <v>78</v>
      </c>
      <c r="D2909" t="s">
        <v>33</v>
      </c>
      <c r="E2909" t="s">
        <v>34</v>
      </c>
      <c r="F2909" t="str">
        <f>"0003211"</f>
        <v>0003211</v>
      </c>
      <c r="G2909">
        <v>1</v>
      </c>
      <c r="H2909" t="str">
        <f>"00000000"</f>
        <v>00000000</v>
      </c>
      <c r="I2909" t="s">
        <v>35</v>
      </c>
      <c r="J2909"/>
      <c r="K2909">
        <v>0.02</v>
      </c>
      <c r="L2909">
        <v>0.0</v>
      </c>
      <c r="M2909"/>
      <c r="N2909"/>
      <c r="O2909">
        <v>0.0</v>
      </c>
      <c r="P2909">
        <v>0.2</v>
      </c>
      <c r="Q2909">
        <v>0.22</v>
      </c>
      <c r="R2909"/>
      <c r="S2909"/>
      <c r="T2909"/>
      <c r="U2909"/>
      <c r="V2909"/>
      <c r="W2909">
        <v>18</v>
      </c>
    </row>
    <row r="2910" spans="1:23">
      <c r="A2910"/>
      <c r="B2910" t="s">
        <v>78</v>
      </c>
      <c r="C2910" t="s">
        <v>78</v>
      </c>
      <c r="D2910" t="s">
        <v>33</v>
      </c>
      <c r="E2910" t="s">
        <v>34</v>
      </c>
      <c r="F2910" t="str">
        <f>"0003212"</f>
        <v>0003212</v>
      </c>
      <c r="G2910">
        <v>1</v>
      </c>
      <c r="H2910" t="str">
        <f>"00000000"</f>
        <v>00000000</v>
      </c>
      <c r="I2910" t="s">
        <v>35</v>
      </c>
      <c r="J2910"/>
      <c r="K2910">
        <v>5.15</v>
      </c>
      <c r="L2910">
        <v>0.0</v>
      </c>
      <c r="M2910"/>
      <c r="N2910"/>
      <c r="O2910">
        <v>0.93</v>
      </c>
      <c r="P2910">
        <v>0.2</v>
      </c>
      <c r="Q2910">
        <v>6.28</v>
      </c>
      <c r="R2910"/>
      <c r="S2910"/>
      <c r="T2910"/>
      <c r="U2910"/>
      <c r="V2910"/>
      <c r="W2910">
        <v>18</v>
      </c>
    </row>
    <row r="2911" spans="1:23">
      <c r="A2911"/>
      <c r="B2911" t="s">
        <v>78</v>
      </c>
      <c r="C2911" t="s">
        <v>78</v>
      </c>
      <c r="D2911" t="s">
        <v>33</v>
      </c>
      <c r="E2911" t="s">
        <v>34</v>
      </c>
      <c r="F2911" t="str">
        <f>"0003213"</f>
        <v>0003213</v>
      </c>
      <c r="G2911">
        <v>1</v>
      </c>
      <c r="H2911" t="str">
        <f>"00000000"</f>
        <v>00000000</v>
      </c>
      <c r="I2911" t="s">
        <v>35</v>
      </c>
      <c r="J2911"/>
      <c r="K2911">
        <v>4.24</v>
      </c>
      <c r="L2911">
        <v>0.0</v>
      </c>
      <c r="M2911"/>
      <c r="N2911"/>
      <c r="O2911">
        <v>0.76</v>
      </c>
      <c r="P2911">
        <v>0.0</v>
      </c>
      <c r="Q2911">
        <v>5.0</v>
      </c>
      <c r="R2911"/>
      <c r="S2911"/>
      <c r="T2911"/>
      <c r="U2911"/>
      <c r="V2911"/>
      <c r="W2911">
        <v>18</v>
      </c>
    </row>
    <row r="2912" spans="1:23">
      <c r="A2912"/>
      <c r="B2912" t="s">
        <v>78</v>
      </c>
      <c r="C2912" t="s">
        <v>78</v>
      </c>
      <c r="D2912" t="s">
        <v>33</v>
      </c>
      <c r="E2912" t="s">
        <v>34</v>
      </c>
      <c r="F2912" t="str">
        <f>"0003214"</f>
        <v>0003214</v>
      </c>
      <c r="G2912">
        <v>1</v>
      </c>
      <c r="H2912" t="str">
        <f>"00000000"</f>
        <v>00000000</v>
      </c>
      <c r="I2912" t="s">
        <v>35</v>
      </c>
      <c r="J2912"/>
      <c r="K2912">
        <v>21.14</v>
      </c>
      <c r="L2912">
        <v>2.31</v>
      </c>
      <c r="M2912"/>
      <c r="N2912"/>
      <c r="O2912">
        <v>3.81</v>
      </c>
      <c r="P2912">
        <v>0.0</v>
      </c>
      <c r="Q2912">
        <v>27.26</v>
      </c>
      <c r="R2912"/>
      <c r="S2912"/>
      <c r="T2912"/>
      <c r="U2912"/>
      <c r="V2912"/>
      <c r="W2912">
        <v>18</v>
      </c>
    </row>
    <row r="2913" spans="1:23">
      <c r="A2913"/>
      <c r="B2913" t="s">
        <v>78</v>
      </c>
      <c r="C2913" t="s">
        <v>78</v>
      </c>
      <c r="D2913" t="s">
        <v>33</v>
      </c>
      <c r="E2913" t="s">
        <v>34</v>
      </c>
      <c r="F2913" t="str">
        <f>"0003215"</f>
        <v>0003215</v>
      </c>
      <c r="G2913">
        <v>1</v>
      </c>
      <c r="H2913" t="str">
        <f>"00000000"</f>
        <v>00000000</v>
      </c>
      <c r="I2913" t="s">
        <v>35</v>
      </c>
      <c r="J2913"/>
      <c r="K2913">
        <v>0.02</v>
      </c>
      <c r="L2913">
        <v>0.0</v>
      </c>
      <c r="M2913"/>
      <c r="N2913"/>
      <c r="O2913">
        <v>0.0</v>
      </c>
      <c r="P2913">
        <v>0.2</v>
      </c>
      <c r="Q2913">
        <v>0.22</v>
      </c>
      <c r="R2913"/>
      <c r="S2913"/>
      <c r="T2913"/>
      <c r="U2913"/>
      <c r="V2913"/>
      <c r="W2913">
        <v>18</v>
      </c>
    </row>
    <row r="2914" spans="1:23">
      <c r="A2914"/>
      <c r="B2914" t="s">
        <v>78</v>
      </c>
      <c r="C2914" t="s">
        <v>78</v>
      </c>
      <c r="D2914" t="s">
        <v>33</v>
      </c>
      <c r="E2914" t="s">
        <v>34</v>
      </c>
      <c r="F2914" t="str">
        <f>"0003216"</f>
        <v>0003216</v>
      </c>
      <c r="G2914">
        <v>1</v>
      </c>
      <c r="H2914" t="str">
        <f>"00000000"</f>
        <v>00000000</v>
      </c>
      <c r="I2914" t="s">
        <v>35</v>
      </c>
      <c r="J2914"/>
      <c r="K2914">
        <v>1.02</v>
      </c>
      <c r="L2914">
        <v>4.23</v>
      </c>
      <c r="M2914"/>
      <c r="N2914"/>
      <c r="O2914">
        <v>0.18</v>
      </c>
      <c r="P2914">
        <v>0.0</v>
      </c>
      <c r="Q2914">
        <v>5.43</v>
      </c>
      <c r="R2914"/>
      <c r="S2914"/>
      <c r="T2914"/>
      <c r="U2914"/>
      <c r="V2914"/>
      <c r="W2914">
        <v>18</v>
      </c>
    </row>
    <row r="2915" spans="1:23">
      <c r="A2915"/>
      <c r="B2915" t="s">
        <v>78</v>
      </c>
      <c r="C2915" t="s">
        <v>78</v>
      </c>
      <c r="D2915" t="s">
        <v>33</v>
      </c>
      <c r="E2915" t="s">
        <v>34</v>
      </c>
      <c r="F2915" t="str">
        <f>"0003217"</f>
        <v>0003217</v>
      </c>
      <c r="G2915">
        <v>1</v>
      </c>
      <c r="H2915" t="str">
        <f>"00000000"</f>
        <v>00000000</v>
      </c>
      <c r="I2915" t="s">
        <v>35</v>
      </c>
      <c r="J2915"/>
      <c r="K2915">
        <v>18.59</v>
      </c>
      <c r="L2915">
        <v>0.0</v>
      </c>
      <c r="M2915"/>
      <c r="N2915"/>
      <c r="O2915">
        <v>3.35</v>
      </c>
      <c r="P2915">
        <v>0.2</v>
      </c>
      <c r="Q2915">
        <v>22.14</v>
      </c>
      <c r="R2915"/>
      <c r="S2915"/>
      <c r="T2915"/>
      <c r="U2915"/>
      <c r="V2915"/>
      <c r="W2915">
        <v>18</v>
      </c>
    </row>
    <row r="2916" spans="1:23">
      <c r="A2916"/>
      <c r="B2916" t="s">
        <v>78</v>
      </c>
      <c r="C2916" t="s">
        <v>78</v>
      </c>
      <c r="D2916" t="s">
        <v>33</v>
      </c>
      <c r="E2916" t="s">
        <v>34</v>
      </c>
      <c r="F2916" t="str">
        <f>"0003218"</f>
        <v>0003218</v>
      </c>
      <c r="G2916">
        <v>1</v>
      </c>
      <c r="H2916" t="str">
        <f>"00000000"</f>
        <v>00000000</v>
      </c>
      <c r="I2916" t="s">
        <v>35</v>
      </c>
      <c r="J2916"/>
      <c r="K2916">
        <v>11.61</v>
      </c>
      <c r="L2916">
        <v>0.0</v>
      </c>
      <c r="M2916"/>
      <c r="N2916"/>
      <c r="O2916">
        <v>2.09</v>
      </c>
      <c r="P2916">
        <v>0.0</v>
      </c>
      <c r="Q2916">
        <v>13.7</v>
      </c>
      <c r="R2916"/>
      <c r="S2916"/>
      <c r="T2916"/>
      <c r="U2916"/>
      <c r="V2916"/>
      <c r="W2916">
        <v>18</v>
      </c>
    </row>
    <row r="2917" spans="1:23">
      <c r="A2917"/>
      <c r="B2917" t="s">
        <v>78</v>
      </c>
      <c r="C2917" t="s">
        <v>78</v>
      </c>
      <c r="D2917" t="s">
        <v>33</v>
      </c>
      <c r="E2917" t="s">
        <v>34</v>
      </c>
      <c r="F2917" t="str">
        <f>"0003219"</f>
        <v>0003219</v>
      </c>
      <c r="G2917">
        <v>1</v>
      </c>
      <c r="H2917" t="str">
        <f>"00000000"</f>
        <v>00000000</v>
      </c>
      <c r="I2917" t="s">
        <v>35</v>
      </c>
      <c r="J2917"/>
      <c r="K2917">
        <v>8.58</v>
      </c>
      <c r="L2917">
        <v>4.71</v>
      </c>
      <c r="M2917"/>
      <c r="N2917"/>
      <c r="O2917">
        <v>1.54</v>
      </c>
      <c r="P2917">
        <v>0.0</v>
      </c>
      <c r="Q2917">
        <v>14.84</v>
      </c>
      <c r="R2917"/>
      <c r="S2917"/>
      <c r="T2917"/>
      <c r="U2917"/>
      <c r="V2917"/>
      <c r="W2917">
        <v>18</v>
      </c>
    </row>
    <row r="2918" spans="1:23">
      <c r="A2918"/>
      <c r="B2918" t="s">
        <v>78</v>
      </c>
      <c r="C2918" t="s">
        <v>78</v>
      </c>
      <c r="D2918" t="s">
        <v>33</v>
      </c>
      <c r="E2918" t="s">
        <v>34</v>
      </c>
      <c r="F2918" t="str">
        <f>"0003220"</f>
        <v>0003220</v>
      </c>
      <c r="G2918">
        <v>1</v>
      </c>
      <c r="H2918" t="str">
        <f>"00000000"</f>
        <v>00000000</v>
      </c>
      <c r="I2918" t="s">
        <v>35</v>
      </c>
      <c r="J2918"/>
      <c r="K2918">
        <v>41.73</v>
      </c>
      <c r="L2918">
        <v>1.85</v>
      </c>
      <c r="M2918"/>
      <c r="N2918"/>
      <c r="O2918">
        <v>7.51</v>
      </c>
      <c r="P2918">
        <v>0.4</v>
      </c>
      <c r="Q2918">
        <v>51.49</v>
      </c>
      <c r="R2918"/>
      <c r="S2918"/>
      <c r="T2918"/>
      <c r="U2918"/>
      <c r="V2918"/>
      <c r="W2918">
        <v>18</v>
      </c>
    </row>
    <row r="2919" spans="1:23">
      <c r="A2919"/>
      <c r="B2919" t="s">
        <v>78</v>
      </c>
      <c r="C2919" t="s">
        <v>78</v>
      </c>
      <c r="D2919" t="s">
        <v>33</v>
      </c>
      <c r="E2919" t="s">
        <v>34</v>
      </c>
      <c r="F2919" t="str">
        <f>"0003221"</f>
        <v>0003221</v>
      </c>
      <c r="G2919">
        <v>1</v>
      </c>
      <c r="H2919" t="str">
        <f>"00000000"</f>
        <v>00000000</v>
      </c>
      <c r="I2919" t="s">
        <v>35</v>
      </c>
      <c r="J2919"/>
      <c r="K2919">
        <v>9.75</v>
      </c>
      <c r="L2919">
        <v>0.0</v>
      </c>
      <c r="M2919"/>
      <c r="N2919"/>
      <c r="O2919">
        <v>1.75</v>
      </c>
      <c r="P2919">
        <v>0.0</v>
      </c>
      <c r="Q2919">
        <v>11.5</v>
      </c>
      <c r="R2919"/>
      <c r="S2919"/>
      <c r="T2919"/>
      <c r="U2919"/>
      <c r="V2919"/>
      <c r="W2919">
        <v>18</v>
      </c>
    </row>
    <row r="2920" spans="1:23">
      <c r="A2920"/>
      <c r="B2920" t="s">
        <v>78</v>
      </c>
      <c r="C2920" t="s">
        <v>78</v>
      </c>
      <c r="D2920" t="s">
        <v>33</v>
      </c>
      <c r="E2920" t="s">
        <v>34</v>
      </c>
      <c r="F2920" t="str">
        <f>"0003222"</f>
        <v>0003222</v>
      </c>
      <c r="G2920">
        <v>1</v>
      </c>
      <c r="H2920" t="str">
        <f>"00000000"</f>
        <v>00000000</v>
      </c>
      <c r="I2920" t="s">
        <v>35</v>
      </c>
      <c r="J2920"/>
      <c r="K2920">
        <v>11.32</v>
      </c>
      <c r="L2920">
        <v>4.16</v>
      </c>
      <c r="M2920"/>
      <c r="N2920"/>
      <c r="O2920">
        <v>2.04</v>
      </c>
      <c r="P2920">
        <v>0.2</v>
      </c>
      <c r="Q2920">
        <v>17.71</v>
      </c>
      <c r="R2920"/>
      <c r="S2920"/>
      <c r="T2920"/>
      <c r="U2920"/>
      <c r="V2920"/>
      <c r="W2920">
        <v>18</v>
      </c>
    </row>
    <row r="2921" spans="1:23">
      <c r="A2921"/>
      <c r="B2921" t="s">
        <v>78</v>
      </c>
      <c r="C2921" t="s">
        <v>78</v>
      </c>
      <c r="D2921" t="s">
        <v>33</v>
      </c>
      <c r="E2921" t="s">
        <v>34</v>
      </c>
      <c r="F2921" t="str">
        <f>"0003223"</f>
        <v>0003223</v>
      </c>
      <c r="G2921">
        <v>1</v>
      </c>
      <c r="H2921" t="str">
        <f>"00000000"</f>
        <v>00000000</v>
      </c>
      <c r="I2921" t="s">
        <v>35</v>
      </c>
      <c r="J2921"/>
      <c r="K2921">
        <v>102.93</v>
      </c>
      <c r="L2921">
        <v>11.22</v>
      </c>
      <c r="M2921"/>
      <c r="N2921"/>
      <c r="O2921">
        <v>18.53</v>
      </c>
      <c r="P2921">
        <v>0.0</v>
      </c>
      <c r="Q2921">
        <v>132.69</v>
      </c>
      <c r="R2921"/>
      <c r="S2921"/>
      <c r="T2921"/>
      <c r="U2921"/>
      <c r="V2921"/>
      <c r="W2921">
        <v>18</v>
      </c>
    </row>
    <row r="2922" spans="1:23">
      <c r="A2922"/>
      <c r="B2922" t="s">
        <v>78</v>
      </c>
      <c r="C2922" t="s">
        <v>78</v>
      </c>
      <c r="D2922" t="s">
        <v>33</v>
      </c>
      <c r="E2922" t="s">
        <v>34</v>
      </c>
      <c r="F2922" t="str">
        <f>"0003224"</f>
        <v>0003224</v>
      </c>
      <c r="G2922">
        <v>1</v>
      </c>
      <c r="H2922" t="str">
        <f>"00000000"</f>
        <v>00000000</v>
      </c>
      <c r="I2922" t="s">
        <v>35</v>
      </c>
      <c r="J2922"/>
      <c r="K2922">
        <v>7.72</v>
      </c>
      <c r="L2922">
        <v>0.0</v>
      </c>
      <c r="M2922"/>
      <c r="N2922"/>
      <c r="O2922">
        <v>1.39</v>
      </c>
      <c r="P2922">
        <v>0.2</v>
      </c>
      <c r="Q2922">
        <v>9.31</v>
      </c>
      <c r="R2922"/>
      <c r="S2922"/>
      <c r="T2922"/>
      <c r="U2922"/>
      <c r="V2922"/>
      <c r="W2922">
        <v>18</v>
      </c>
    </row>
    <row r="2923" spans="1:23">
      <c r="A2923"/>
      <c r="B2923" t="s">
        <v>78</v>
      </c>
      <c r="C2923" t="s">
        <v>78</v>
      </c>
      <c r="D2923" t="s">
        <v>33</v>
      </c>
      <c r="E2923" t="s">
        <v>34</v>
      </c>
      <c r="F2923" t="str">
        <f>"0003225"</f>
        <v>0003225</v>
      </c>
      <c r="G2923">
        <v>1</v>
      </c>
      <c r="H2923" t="str">
        <f>"00000000"</f>
        <v>00000000</v>
      </c>
      <c r="I2923" t="s">
        <v>35</v>
      </c>
      <c r="J2923"/>
      <c r="K2923">
        <v>4.25</v>
      </c>
      <c r="L2923">
        <v>0.0</v>
      </c>
      <c r="M2923"/>
      <c r="N2923"/>
      <c r="O2923">
        <v>0.77</v>
      </c>
      <c r="P2923">
        <v>0.2</v>
      </c>
      <c r="Q2923">
        <v>5.22</v>
      </c>
      <c r="R2923"/>
      <c r="S2923"/>
      <c r="T2923"/>
      <c r="U2923"/>
      <c r="V2923"/>
      <c r="W2923">
        <v>18</v>
      </c>
    </row>
    <row r="2924" spans="1:23">
      <c r="A2924"/>
      <c r="B2924" t="s">
        <v>78</v>
      </c>
      <c r="C2924" t="s">
        <v>78</v>
      </c>
      <c r="D2924" t="s">
        <v>33</v>
      </c>
      <c r="E2924" t="s">
        <v>34</v>
      </c>
      <c r="F2924" t="str">
        <f>"0003226"</f>
        <v>0003226</v>
      </c>
      <c r="G2924">
        <v>1</v>
      </c>
      <c r="H2924" t="str">
        <f>"00000000"</f>
        <v>00000000</v>
      </c>
      <c r="I2924" t="s">
        <v>35</v>
      </c>
      <c r="J2924"/>
      <c r="K2924">
        <v>6.67</v>
      </c>
      <c r="L2924">
        <v>0.18</v>
      </c>
      <c r="M2924"/>
      <c r="N2924"/>
      <c r="O2924">
        <v>1.2</v>
      </c>
      <c r="P2924">
        <v>0.2</v>
      </c>
      <c r="Q2924">
        <v>8.25</v>
      </c>
      <c r="R2924"/>
      <c r="S2924"/>
      <c r="T2924"/>
      <c r="U2924"/>
      <c r="V2924"/>
      <c r="W2924">
        <v>18</v>
      </c>
    </row>
    <row r="2925" spans="1:23">
      <c r="A2925"/>
      <c r="B2925" t="s">
        <v>78</v>
      </c>
      <c r="C2925" t="s">
        <v>78</v>
      </c>
      <c r="D2925" t="s">
        <v>33</v>
      </c>
      <c r="E2925" t="s">
        <v>34</v>
      </c>
      <c r="F2925" t="str">
        <f>"0003227"</f>
        <v>0003227</v>
      </c>
      <c r="G2925">
        <v>1</v>
      </c>
      <c r="H2925" t="str">
        <f>"00000000"</f>
        <v>00000000</v>
      </c>
      <c r="I2925" t="s">
        <v>35</v>
      </c>
      <c r="J2925"/>
      <c r="K2925">
        <v>0.85</v>
      </c>
      <c r="L2925">
        <v>0.0</v>
      </c>
      <c r="M2925"/>
      <c r="N2925"/>
      <c r="O2925">
        <v>0.15</v>
      </c>
      <c r="P2925">
        <v>0.0</v>
      </c>
      <c r="Q2925">
        <v>1.0</v>
      </c>
      <c r="R2925"/>
      <c r="S2925"/>
      <c r="T2925"/>
      <c r="U2925"/>
      <c r="V2925"/>
      <c r="W2925">
        <v>18</v>
      </c>
    </row>
    <row r="2926" spans="1:23">
      <c r="A2926"/>
      <c r="B2926" t="s">
        <v>78</v>
      </c>
      <c r="C2926" t="s">
        <v>78</v>
      </c>
      <c r="D2926" t="s">
        <v>33</v>
      </c>
      <c r="E2926" t="s">
        <v>34</v>
      </c>
      <c r="F2926" t="str">
        <f>"0003228"</f>
        <v>0003228</v>
      </c>
      <c r="G2926">
        <v>1</v>
      </c>
      <c r="H2926" t="str">
        <f>"00000000"</f>
        <v>00000000</v>
      </c>
      <c r="I2926" t="s">
        <v>35</v>
      </c>
      <c r="J2926"/>
      <c r="K2926">
        <v>1.08</v>
      </c>
      <c r="L2926">
        <v>0.0</v>
      </c>
      <c r="M2926"/>
      <c r="N2926"/>
      <c r="O2926">
        <v>0.19</v>
      </c>
      <c r="P2926">
        <v>0.0</v>
      </c>
      <c r="Q2926">
        <v>1.27</v>
      </c>
      <c r="R2926"/>
      <c r="S2926"/>
      <c r="T2926"/>
      <c r="U2926"/>
      <c r="V2926"/>
      <c r="W2926">
        <v>18</v>
      </c>
    </row>
    <row r="2927" spans="1:23">
      <c r="A2927"/>
      <c r="B2927" t="s">
        <v>78</v>
      </c>
      <c r="C2927" t="s">
        <v>78</v>
      </c>
      <c r="D2927" t="s">
        <v>33</v>
      </c>
      <c r="E2927" t="s">
        <v>34</v>
      </c>
      <c r="F2927" t="str">
        <f>"0003229"</f>
        <v>0003229</v>
      </c>
      <c r="G2927">
        <v>1</v>
      </c>
      <c r="H2927" t="str">
        <f>"00000000"</f>
        <v>00000000</v>
      </c>
      <c r="I2927" t="s">
        <v>35</v>
      </c>
      <c r="J2927"/>
      <c r="K2927">
        <v>7.43</v>
      </c>
      <c r="L2927">
        <v>3.12</v>
      </c>
      <c r="M2927"/>
      <c r="N2927"/>
      <c r="O2927">
        <v>1.34</v>
      </c>
      <c r="P2927">
        <v>0.2</v>
      </c>
      <c r="Q2927">
        <v>12.09</v>
      </c>
      <c r="R2927"/>
      <c r="S2927"/>
      <c r="T2927"/>
      <c r="U2927"/>
      <c r="V2927"/>
      <c r="W2927">
        <v>18</v>
      </c>
    </row>
    <row r="2928" spans="1:23">
      <c r="A2928"/>
      <c r="B2928" t="s">
        <v>78</v>
      </c>
      <c r="C2928" t="s">
        <v>78</v>
      </c>
      <c r="D2928" t="s">
        <v>33</v>
      </c>
      <c r="E2928" t="s">
        <v>34</v>
      </c>
      <c r="F2928" t="str">
        <f>"0003230"</f>
        <v>0003230</v>
      </c>
      <c r="G2928">
        <v>1</v>
      </c>
      <c r="H2928" t="str">
        <f>"00000000"</f>
        <v>00000000</v>
      </c>
      <c r="I2928" t="s">
        <v>35</v>
      </c>
      <c r="J2928"/>
      <c r="K2928">
        <v>49.58</v>
      </c>
      <c r="L2928">
        <v>0.0</v>
      </c>
      <c r="M2928"/>
      <c r="N2928"/>
      <c r="O2928">
        <v>8.92</v>
      </c>
      <c r="P2928">
        <v>0.0</v>
      </c>
      <c r="Q2928">
        <v>58.5</v>
      </c>
      <c r="R2928"/>
      <c r="S2928"/>
      <c r="T2928"/>
      <c r="U2928"/>
      <c r="V2928"/>
      <c r="W2928">
        <v>18</v>
      </c>
    </row>
    <row r="2929" spans="1:23">
      <c r="A2929"/>
      <c r="B2929" t="s">
        <v>78</v>
      </c>
      <c r="C2929" t="s">
        <v>78</v>
      </c>
      <c r="D2929" t="s">
        <v>33</v>
      </c>
      <c r="E2929" t="s">
        <v>34</v>
      </c>
      <c r="F2929" t="str">
        <f>"0003231"</f>
        <v>0003231</v>
      </c>
      <c r="G2929">
        <v>1</v>
      </c>
      <c r="H2929" t="str">
        <f>"00000000"</f>
        <v>00000000</v>
      </c>
      <c r="I2929" t="s">
        <v>35</v>
      </c>
      <c r="J2929"/>
      <c r="K2929">
        <v>33.27</v>
      </c>
      <c r="L2929">
        <v>0.0</v>
      </c>
      <c r="M2929"/>
      <c r="N2929"/>
      <c r="O2929">
        <v>5.99</v>
      </c>
      <c r="P2929">
        <v>0.2</v>
      </c>
      <c r="Q2929">
        <v>39.46</v>
      </c>
      <c r="R2929"/>
      <c r="S2929"/>
      <c r="T2929"/>
      <c r="U2929"/>
      <c r="V2929"/>
      <c r="W2929">
        <v>18</v>
      </c>
    </row>
    <row r="2930" spans="1:23">
      <c r="A2930"/>
      <c r="B2930" t="s">
        <v>78</v>
      </c>
      <c r="C2930" t="s">
        <v>78</v>
      </c>
      <c r="D2930" t="s">
        <v>33</v>
      </c>
      <c r="E2930" t="s">
        <v>34</v>
      </c>
      <c r="F2930" t="str">
        <f>"0003232"</f>
        <v>0003232</v>
      </c>
      <c r="G2930">
        <v>1</v>
      </c>
      <c r="H2930" t="str">
        <f>"00000000"</f>
        <v>00000000</v>
      </c>
      <c r="I2930" t="s">
        <v>35</v>
      </c>
      <c r="J2930"/>
      <c r="K2930">
        <v>14.63</v>
      </c>
      <c r="L2930">
        <v>0.83</v>
      </c>
      <c r="M2930"/>
      <c r="N2930"/>
      <c r="O2930">
        <v>2.63</v>
      </c>
      <c r="P2930">
        <v>0.2</v>
      </c>
      <c r="Q2930">
        <v>18.29</v>
      </c>
      <c r="R2930"/>
      <c r="S2930"/>
      <c r="T2930"/>
      <c r="U2930"/>
      <c r="V2930"/>
      <c r="W2930">
        <v>18</v>
      </c>
    </row>
    <row r="2931" spans="1:23">
      <c r="A2931"/>
      <c r="B2931" t="s">
        <v>78</v>
      </c>
      <c r="C2931" t="s">
        <v>78</v>
      </c>
      <c r="D2931" t="s">
        <v>33</v>
      </c>
      <c r="E2931" t="s">
        <v>34</v>
      </c>
      <c r="F2931" t="str">
        <f>"0003233"</f>
        <v>0003233</v>
      </c>
      <c r="G2931">
        <v>1</v>
      </c>
      <c r="H2931" t="str">
        <f>"00000000"</f>
        <v>00000000</v>
      </c>
      <c r="I2931" t="s">
        <v>35</v>
      </c>
      <c r="J2931"/>
      <c r="K2931">
        <v>18.24</v>
      </c>
      <c r="L2931">
        <v>6.21</v>
      </c>
      <c r="M2931"/>
      <c r="N2931"/>
      <c r="O2931">
        <v>3.28</v>
      </c>
      <c r="P2931">
        <v>0.2</v>
      </c>
      <c r="Q2931">
        <v>27.93</v>
      </c>
      <c r="R2931"/>
      <c r="S2931"/>
      <c r="T2931"/>
      <c r="U2931"/>
      <c r="V2931"/>
      <c r="W2931">
        <v>18</v>
      </c>
    </row>
    <row r="2932" spans="1:23">
      <c r="A2932"/>
      <c r="B2932" t="s">
        <v>78</v>
      </c>
      <c r="C2932" t="s">
        <v>78</v>
      </c>
      <c r="D2932" t="s">
        <v>33</v>
      </c>
      <c r="E2932" t="s">
        <v>34</v>
      </c>
      <c r="F2932" t="str">
        <f>"0003234"</f>
        <v>0003234</v>
      </c>
      <c r="G2932">
        <v>1</v>
      </c>
      <c r="H2932" t="str">
        <f>"00000000"</f>
        <v>00000000</v>
      </c>
      <c r="I2932" t="s">
        <v>35</v>
      </c>
      <c r="J2932"/>
      <c r="K2932">
        <v>0.85</v>
      </c>
      <c r="L2932">
        <v>1.34</v>
      </c>
      <c r="M2932"/>
      <c r="N2932"/>
      <c r="O2932">
        <v>0.15</v>
      </c>
      <c r="P2932">
        <v>0.0</v>
      </c>
      <c r="Q2932">
        <v>2.34</v>
      </c>
      <c r="R2932"/>
      <c r="S2932"/>
      <c r="T2932"/>
      <c r="U2932"/>
      <c r="V2932"/>
      <c r="W2932">
        <v>18</v>
      </c>
    </row>
    <row r="2933" spans="1:23">
      <c r="A2933"/>
      <c r="B2933" t="s">
        <v>78</v>
      </c>
      <c r="C2933" t="s">
        <v>78</v>
      </c>
      <c r="D2933" t="s">
        <v>33</v>
      </c>
      <c r="E2933" t="s">
        <v>34</v>
      </c>
      <c r="F2933" t="str">
        <f>"0003235"</f>
        <v>0003235</v>
      </c>
      <c r="G2933">
        <v>1</v>
      </c>
      <c r="H2933" t="str">
        <f>"00000000"</f>
        <v>00000000</v>
      </c>
      <c r="I2933" t="s">
        <v>35</v>
      </c>
      <c r="J2933"/>
      <c r="K2933">
        <v>4.18</v>
      </c>
      <c r="L2933">
        <v>0.0</v>
      </c>
      <c r="M2933"/>
      <c r="N2933"/>
      <c r="O2933">
        <v>0.75</v>
      </c>
      <c r="P2933">
        <v>0.0</v>
      </c>
      <c r="Q2933">
        <v>4.93</v>
      </c>
      <c r="R2933"/>
      <c r="S2933"/>
      <c r="T2933"/>
      <c r="U2933"/>
      <c r="V2933"/>
      <c r="W2933">
        <v>18</v>
      </c>
    </row>
    <row r="2934" spans="1:23">
      <c r="A2934"/>
      <c r="B2934" t="s">
        <v>78</v>
      </c>
      <c r="C2934" t="s">
        <v>78</v>
      </c>
      <c r="D2934" t="s">
        <v>33</v>
      </c>
      <c r="E2934" t="s">
        <v>34</v>
      </c>
      <c r="F2934" t="str">
        <f>"0003236"</f>
        <v>0003236</v>
      </c>
      <c r="G2934">
        <v>1</v>
      </c>
      <c r="H2934" t="str">
        <f>"00000000"</f>
        <v>00000000</v>
      </c>
      <c r="I2934" t="s">
        <v>35</v>
      </c>
      <c r="J2934"/>
      <c r="K2934">
        <v>0.02</v>
      </c>
      <c r="L2934">
        <v>7.48</v>
      </c>
      <c r="M2934"/>
      <c r="N2934"/>
      <c r="O2934">
        <v>0.0</v>
      </c>
      <c r="P2934">
        <v>0.2</v>
      </c>
      <c r="Q2934">
        <v>7.7</v>
      </c>
      <c r="R2934"/>
      <c r="S2934"/>
      <c r="T2934"/>
      <c r="U2934"/>
      <c r="V2934"/>
      <c r="W2934">
        <v>18</v>
      </c>
    </row>
    <row r="2935" spans="1:23">
      <c r="A2935"/>
      <c r="B2935" t="s">
        <v>78</v>
      </c>
      <c r="C2935" t="s">
        <v>78</v>
      </c>
      <c r="D2935" t="s">
        <v>33</v>
      </c>
      <c r="E2935" t="s">
        <v>34</v>
      </c>
      <c r="F2935" t="str">
        <f>"0003237"</f>
        <v>0003237</v>
      </c>
      <c r="G2935">
        <v>1</v>
      </c>
      <c r="H2935" t="str">
        <f>"00000000"</f>
        <v>00000000</v>
      </c>
      <c r="I2935" t="s">
        <v>35</v>
      </c>
      <c r="J2935"/>
      <c r="K2935">
        <v>3.73</v>
      </c>
      <c r="L2935">
        <v>0.0</v>
      </c>
      <c r="M2935"/>
      <c r="N2935"/>
      <c r="O2935">
        <v>0.67</v>
      </c>
      <c r="P2935">
        <v>0.0</v>
      </c>
      <c r="Q2935">
        <v>4.4</v>
      </c>
      <c r="R2935"/>
      <c r="S2935"/>
      <c r="T2935"/>
      <c r="U2935"/>
      <c r="V2935"/>
      <c r="W2935">
        <v>18</v>
      </c>
    </row>
    <row r="2936" spans="1:23">
      <c r="A2936"/>
      <c r="B2936" t="s">
        <v>78</v>
      </c>
      <c r="C2936" t="s">
        <v>78</v>
      </c>
      <c r="D2936" t="s">
        <v>33</v>
      </c>
      <c r="E2936" t="s">
        <v>34</v>
      </c>
      <c r="F2936" t="str">
        <f>"0003238"</f>
        <v>0003238</v>
      </c>
      <c r="G2936">
        <v>1</v>
      </c>
      <c r="H2936" t="str">
        <f>"00000000"</f>
        <v>00000000</v>
      </c>
      <c r="I2936" t="s">
        <v>35</v>
      </c>
      <c r="J2936"/>
      <c r="K2936">
        <v>21.97</v>
      </c>
      <c r="L2936">
        <v>5.82</v>
      </c>
      <c r="M2936"/>
      <c r="N2936"/>
      <c r="O2936">
        <v>3.95</v>
      </c>
      <c r="P2936">
        <v>0.2</v>
      </c>
      <c r="Q2936">
        <v>31.94</v>
      </c>
      <c r="R2936"/>
      <c r="S2936"/>
      <c r="T2936"/>
      <c r="U2936"/>
      <c r="V2936"/>
      <c r="W2936">
        <v>18</v>
      </c>
    </row>
    <row r="2937" spans="1:23">
      <c r="A2937"/>
      <c r="B2937" t="s">
        <v>78</v>
      </c>
      <c r="C2937" t="s">
        <v>78</v>
      </c>
      <c r="D2937" t="s">
        <v>33</v>
      </c>
      <c r="E2937" t="s">
        <v>34</v>
      </c>
      <c r="F2937" t="str">
        <f>"0003239"</f>
        <v>0003239</v>
      </c>
      <c r="G2937">
        <v>1</v>
      </c>
      <c r="H2937" t="str">
        <f>"00000000"</f>
        <v>00000000</v>
      </c>
      <c r="I2937" t="s">
        <v>35</v>
      </c>
      <c r="J2937"/>
      <c r="K2937">
        <v>8.15</v>
      </c>
      <c r="L2937">
        <v>2.97</v>
      </c>
      <c r="M2937"/>
      <c r="N2937"/>
      <c r="O2937">
        <v>1.47</v>
      </c>
      <c r="P2937">
        <v>0.2</v>
      </c>
      <c r="Q2937">
        <v>12.79</v>
      </c>
      <c r="R2937"/>
      <c r="S2937"/>
      <c r="T2937"/>
      <c r="U2937"/>
      <c r="V2937"/>
      <c r="W2937">
        <v>18</v>
      </c>
    </row>
    <row r="2938" spans="1:23">
      <c r="A2938"/>
      <c r="B2938" t="s">
        <v>78</v>
      </c>
      <c r="C2938" t="s">
        <v>78</v>
      </c>
      <c r="D2938" t="s">
        <v>36</v>
      </c>
      <c r="E2938" t="s">
        <v>37</v>
      </c>
      <c r="F2938" t="str">
        <f>"0000043"</f>
        <v>0000043</v>
      </c>
      <c r="G2938">
        <v>6</v>
      </c>
      <c r="H2938" t="str">
        <f>"20605031944"</f>
        <v>20605031944</v>
      </c>
      <c r="I2938" t="s">
        <v>41</v>
      </c>
      <c r="J2938"/>
      <c r="K2938">
        <v>12.31</v>
      </c>
      <c r="L2938">
        <v>4.49</v>
      </c>
      <c r="M2938"/>
      <c r="N2938"/>
      <c r="O2938">
        <v>2.21</v>
      </c>
      <c r="P2938">
        <v>0.2</v>
      </c>
      <c r="Q2938">
        <v>19.21</v>
      </c>
      <c r="R2938"/>
      <c r="S2938"/>
      <c r="T2938"/>
      <c r="U2938"/>
      <c r="V2938"/>
      <c r="W2938">
        <v>18</v>
      </c>
    </row>
    <row r="2939" spans="1:23">
      <c r="A2939"/>
      <c r="B2939" t="s">
        <v>78</v>
      </c>
      <c r="C2939" t="s">
        <v>78</v>
      </c>
      <c r="D2939" t="s">
        <v>33</v>
      </c>
      <c r="E2939" t="s">
        <v>34</v>
      </c>
      <c r="F2939" t="str">
        <f>"0003240"</f>
        <v>0003240</v>
      </c>
      <c r="G2939">
        <v>1</v>
      </c>
      <c r="H2939" t="str">
        <f>"00000000"</f>
        <v>00000000</v>
      </c>
      <c r="I2939" t="s">
        <v>35</v>
      </c>
      <c r="J2939"/>
      <c r="K2939">
        <v>0.0</v>
      </c>
      <c r="L2939">
        <v>2.93</v>
      </c>
      <c r="M2939"/>
      <c r="N2939"/>
      <c r="O2939">
        <v>0.0</v>
      </c>
      <c r="P2939">
        <v>0.0</v>
      </c>
      <c r="Q2939">
        <v>2.93</v>
      </c>
      <c r="R2939"/>
      <c r="S2939"/>
      <c r="T2939"/>
      <c r="U2939"/>
      <c r="V2939"/>
      <c r="W2939">
        <v>18</v>
      </c>
    </row>
    <row r="2940" spans="1:23">
      <c r="A2940"/>
      <c r="B2940" t="s">
        <v>78</v>
      </c>
      <c r="C2940" t="s">
        <v>78</v>
      </c>
      <c r="D2940" t="s">
        <v>33</v>
      </c>
      <c r="E2940" t="s">
        <v>34</v>
      </c>
      <c r="F2940" t="str">
        <f>"0003241"</f>
        <v>0003241</v>
      </c>
      <c r="G2940">
        <v>1</v>
      </c>
      <c r="H2940" t="str">
        <f>"00000000"</f>
        <v>00000000</v>
      </c>
      <c r="I2940" t="s">
        <v>35</v>
      </c>
      <c r="J2940"/>
      <c r="K2940">
        <v>32.14</v>
      </c>
      <c r="L2940">
        <v>11.7</v>
      </c>
      <c r="M2940"/>
      <c r="N2940"/>
      <c r="O2940">
        <v>5.78</v>
      </c>
      <c r="P2940">
        <v>0.2</v>
      </c>
      <c r="Q2940">
        <v>49.82</v>
      </c>
      <c r="R2940"/>
      <c r="S2940"/>
      <c r="T2940"/>
      <c r="U2940"/>
      <c r="V2940"/>
      <c r="W2940">
        <v>18</v>
      </c>
    </row>
    <row r="2941" spans="1:23">
      <c r="A2941"/>
      <c r="B2941" t="s">
        <v>78</v>
      </c>
      <c r="C2941" t="s">
        <v>78</v>
      </c>
      <c r="D2941" t="s">
        <v>33</v>
      </c>
      <c r="E2941" t="s">
        <v>34</v>
      </c>
      <c r="F2941" t="str">
        <f>"0003242"</f>
        <v>0003242</v>
      </c>
      <c r="G2941">
        <v>1</v>
      </c>
      <c r="H2941" t="str">
        <f>"00000000"</f>
        <v>00000000</v>
      </c>
      <c r="I2941" t="s">
        <v>35</v>
      </c>
      <c r="J2941"/>
      <c r="K2941">
        <v>56.11</v>
      </c>
      <c r="L2941">
        <v>24.14</v>
      </c>
      <c r="M2941"/>
      <c r="N2941"/>
      <c r="O2941">
        <v>10.1</v>
      </c>
      <c r="P2941">
        <v>0.8</v>
      </c>
      <c r="Q2941">
        <v>91.15</v>
      </c>
      <c r="R2941"/>
      <c r="S2941"/>
      <c r="T2941"/>
      <c r="U2941"/>
      <c r="V2941"/>
      <c r="W2941">
        <v>18</v>
      </c>
    </row>
    <row r="2942" spans="1:23">
      <c r="A2942"/>
      <c r="B2942" t="s">
        <v>78</v>
      </c>
      <c r="C2942" t="s">
        <v>78</v>
      </c>
      <c r="D2942" t="s">
        <v>33</v>
      </c>
      <c r="E2942" t="s">
        <v>34</v>
      </c>
      <c r="F2942" t="str">
        <f>"0003243"</f>
        <v>0003243</v>
      </c>
      <c r="G2942">
        <v>1</v>
      </c>
      <c r="H2942" t="str">
        <f>"00000000"</f>
        <v>00000000</v>
      </c>
      <c r="I2942" t="s">
        <v>35</v>
      </c>
      <c r="J2942"/>
      <c r="K2942">
        <v>20.03</v>
      </c>
      <c r="L2942">
        <v>10.68</v>
      </c>
      <c r="M2942"/>
      <c r="N2942"/>
      <c r="O2942">
        <v>3.61</v>
      </c>
      <c r="P2942">
        <v>0.2</v>
      </c>
      <c r="Q2942">
        <v>34.52</v>
      </c>
      <c r="R2942"/>
      <c r="S2942"/>
      <c r="T2942"/>
      <c r="U2942"/>
      <c r="V2942"/>
      <c r="W2942">
        <v>18</v>
      </c>
    </row>
    <row r="2943" spans="1:23">
      <c r="A2943"/>
      <c r="B2943" t="s">
        <v>78</v>
      </c>
      <c r="C2943" t="s">
        <v>78</v>
      </c>
      <c r="D2943" t="s">
        <v>33</v>
      </c>
      <c r="E2943" t="s">
        <v>34</v>
      </c>
      <c r="F2943" t="str">
        <f>"0003244"</f>
        <v>0003244</v>
      </c>
      <c r="G2943">
        <v>1</v>
      </c>
      <c r="H2943" t="str">
        <f>"00000000"</f>
        <v>00000000</v>
      </c>
      <c r="I2943" t="s">
        <v>35</v>
      </c>
      <c r="J2943"/>
      <c r="K2943">
        <v>2.97</v>
      </c>
      <c r="L2943">
        <v>0.0</v>
      </c>
      <c r="M2943"/>
      <c r="N2943"/>
      <c r="O2943">
        <v>0.53</v>
      </c>
      <c r="P2943">
        <v>0.0</v>
      </c>
      <c r="Q2943">
        <v>3.5</v>
      </c>
      <c r="R2943"/>
      <c r="S2943"/>
      <c r="T2943"/>
      <c r="U2943"/>
      <c r="V2943"/>
      <c r="W2943">
        <v>18</v>
      </c>
    </row>
    <row r="2944" spans="1:23">
      <c r="A2944"/>
      <c r="B2944" t="s">
        <v>78</v>
      </c>
      <c r="C2944" t="s">
        <v>78</v>
      </c>
      <c r="D2944" t="s">
        <v>33</v>
      </c>
      <c r="E2944" t="s">
        <v>34</v>
      </c>
      <c r="F2944" t="str">
        <f>"0003245"</f>
        <v>0003245</v>
      </c>
      <c r="G2944">
        <v>1</v>
      </c>
      <c r="H2944" t="str">
        <f>"00000000"</f>
        <v>00000000</v>
      </c>
      <c r="I2944" t="s">
        <v>35</v>
      </c>
      <c r="J2944"/>
      <c r="K2944">
        <v>11.5</v>
      </c>
      <c r="L2944">
        <v>6.05</v>
      </c>
      <c r="M2944"/>
      <c r="N2944"/>
      <c r="O2944">
        <v>2.07</v>
      </c>
      <c r="P2944">
        <v>0.2</v>
      </c>
      <c r="Q2944">
        <v>19.82</v>
      </c>
      <c r="R2944"/>
      <c r="S2944"/>
      <c r="T2944"/>
      <c r="U2944"/>
      <c r="V2944"/>
      <c r="W2944">
        <v>18</v>
      </c>
    </row>
    <row r="2945" spans="1:23">
      <c r="A2945"/>
      <c r="B2945" t="s">
        <v>78</v>
      </c>
      <c r="C2945" t="s">
        <v>78</v>
      </c>
      <c r="D2945" t="s">
        <v>33</v>
      </c>
      <c r="E2945" t="s">
        <v>34</v>
      </c>
      <c r="F2945" t="str">
        <f>"0003246"</f>
        <v>0003246</v>
      </c>
      <c r="G2945">
        <v>1</v>
      </c>
      <c r="H2945" t="str">
        <f>"00000000"</f>
        <v>00000000</v>
      </c>
      <c r="I2945" t="s">
        <v>35</v>
      </c>
      <c r="J2945"/>
      <c r="K2945">
        <v>6.59</v>
      </c>
      <c r="L2945">
        <v>0.0</v>
      </c>
      <c r="M2945"/>
      <c r="N2945"/>
      <c r="O2945">
        <v>1.19</v>
      </c>
      <c r="P2945">
        <v>0.2</v>
      </c>
      <c r="Q2945">
        <v>7.97</v>
      </c>
      <c r="R2945"/>
      <c r="S2945"/>
      <c r="T2945"/>
      <c r="U2945"/>
      <c r="V2945"/>
      <c r="W2945">
        <v>18</v>
      </c>
    </row>
    <row r="2946" spans="1:23">
      <c r="A2946"/>
      <c r="B2946" t="s">
        <v>78</v>
      </c>
      <c r="C2946" t="s">
        <v>78</v>
      </c>
      <c r="D2946" t="s">
        <v>33</v>
      </c>
      <c r="E2946" t="s">
        <v>34</v>
      </c>
      <c r="F2946" t="str">
        <f>"0003247"</f>
        <v>0003247</v>
      </c>
      <c r="G2946">
        <v>1</v>
      </c>
      <c r="H2946" t="str">
        <f>"00000000"</f>
        <v>00000000</v>
      </c>
      <c r="I2946" t="s">
        <v>35</v>
      </c>
      <c r="J2946"/>
      <c r="K2946">
        <v>56.05</v>
      </c>
      <c r="L2946">
        <v>0.0</v>
      </c>
      <c r="M2946"/>
      <c r="N2946"/>
      <c r="O2946">
        <v>10.09</v>
      </c>
      <c r="P2946">
        <v>0.4</v>
      </c>
      <c r="Q2946">
        <v>66.54</v>
      </c>
      <c r="R2946"/>
      <c r="S2946"/>
      <c r="T2946"/>
      <c r="U2946"/>
      <c r="V2946"/>
      <c r="W2946">
        <v>18</v>
      </c>
    </row>
    <row r="2947" spans="1:23">
      <c r="A2947"/>
      <c r="B2947" t="s">
        <v>78</v>
      </c>
      <c r="C2947" t="s">
        <v>78</v>
      </c>
      <c r="D2947" t="s">
        <v>33</v>
      </c>
      <c r="E2947" t="s">
        <v>34</v>
      </c>
      <c r="F2947" t="str">
        <f>"0003248"</f>
        <v>0003248</v>
      </c>
      <c r="G2947">
        <v>1</v>
      </c>
      <c r="H2947" t="str">
        <f>"00000000"</f>
        <v>00000000</v>
      </c>
      <c r="I2947" t="s">
        <v>35</v>
      </c>
      <c r="J2947"/>
      <c r="K2947">
        <v>33.2</v>
      </c>
      <c r="L2947">
        <v>0.0</v>
      </c>
      <c r="M2947"/>
      <c r="N2947"/>
      <c r="O2947">
        <v>5.98</v>
      </c>
      <c r="P2947">
        <v>0.2</v>
      </c>
      <c r="Q2947">
        <v>39.38</v>
      </c>
      <c r="R2947"/>
      <c r="S2947"/>
      <c r="T2947"/>
      <c r="U2947"/>
      <c r="V2947"/>
      <c r="W2947">
        <v>18</v>
      </c>
    </row>
    <row r="2948" spans="1:23">
      <c r="A2948"/>
      <c r="B2948" t="s">
        <v>78</v>
      </c>
      <c r="C2948" t="s">
        <v>78</v>
      </c>
      <c r="D2948" t="s">
        <v>33</v>
      </c>
      <c r="E2948" t="s">
        <v>34</v>
      </c>
      <c r="F2948" t="str">
        <f>"0003249"</f>
        <v>0003249</v>
      </c>
      <c r="G2948">
        <v>1</v>
      </c>
      <c r="H2948" t="str">
        <f>"00000000"</f>
        <v>00000000</v>
      </c>
      <c r="I2948" t="s">
        <v>35</v>
      </c>
      <c r="J2948"/>
      <c r="K2948">
        <v>35.59</v>
      </c>
      <c r="L2948">
        <v>0.0</v>
      </c>
      <c r="M2948"/>
      <c r="N2948"/>
      <c r="O2948">
        <v>6.41</v>
      </c>
      <c r="P2948">
        <v>0.2</v>
      </c>
      <c r="Q2948">
        <v>42.2</v>
      </c>
      <c r="R2948"/>
      <c r="S2948"/>
      <c r="T2948"/>
      <c r="U2948"/>
      <c r="V2948"/>
      <c r="W2948">
        <v>18</v>
      </c>
    </row>
    <row r="2949" spans="1:23">
      <c r="A2949"/>
      <c r="B2949" t="s">
        <v>78</v>
      </c>
      <c r="C2949" t="s">
        <v>78</v>
      </c>
      <c r="D2949" t="s">
        <v>33</v>
      </c>
      <c r="E2949" t="s">
        <v>34</v>
      </c>
      <c r="F2949" t="str">
        <f>"0003250"</f>
        <v>0003250</v>
      </c>
      <c r="G2949">
        <v>1</v>
      </c>
      <c r="H2949" t="str">
        <f>"00000000"</f>
        <v>00000000</v>
      </c>
      <c r="I2949" t="s">
        <v>35</v>
      </c>
      <c r="J2949"/>
      <c r="K2949">
        <v>16.95</v>
      </c>
      <c r="L2949">
        <v>0.0</v>
      </c>
      <c r="M2949"/>
      <c r="N2949"/>
      <c r="O2949">
        <v>3.05</v>
      </c>
      <c r="P2949">
        <v>0.0</v>
      </c>
      <c r="Q2949">
        <v>20.0</v>
      </c>
      <c r="R2949"/>
      <c r="S2949"/>
      <c r="T2949"/>
      <c r="U2949"/>
      <c r="V2949"/>
      <c r="W2949">
        <v>18</v>
      </c>
    </row>
    <row r="2950" spans="1:23">
      <c r="A2950"/>
      <c r="B2950" t="s">
        <v>78</v>
      </c>
      <c r="C2950" t="s">
        <v>78</v>
      </c>
      <c r="D2950" t="s">
        <v>33</v>
      </c>
      <c r="E2950" t="s">
        <v>34</v>
      </c>
      <c r="F2950" t="str">
        <f>"0003251"</f>
        <v>0003251</v>
      </c>
      <c r="G2950">
        <v>1</v>
      </c>
      <c r="H2950" t="str">
        <f>"00000000"</f>
        <v>00000000</v>
      </c>
      <c r="I2950" t="s">
        <v>35</v>
      </c>
      <c r="J2950"/>
      <c r="K2950">
        <v>0.02</v>
      </c>
      <c r="L2950">
        <v>0.0</v>
      </c>
      <c r="M2950"/>
      <c r="N2950"/>
      <c r="O2950">
        <v>0.0</v>
      </c>
      <c r="P2950">
        <v>0.2</v>
      </c>
      <c r="Q2950">
        <v>0.22</v>
      </c>
      <c r="R2950"/>
      <c r="S2950"/>
      <c r="T2950"/>
      <c r="U2950"/>
      <c r="V2950"/>
      <c r="W2950">
        <v>18</v>
      </c>
    </row>
    <row r="2951" spans="1:23">
      <c r="A2951"/>
      <c r="B2951" t="s">
        <v>78</v>
      </c>
      <c r="C2951" t="s">
        <v>78</v>
      </c>
      <c r="D2951" t="s">
        <v>33</v>
      </c>
      <c r="E2951" t="s">
        <v>34</v>
      </c>
      <c r="F2951" t="str">
        <f>"0003252"</f>
        <v>0003252</v>
      </c>
      <c r="G2951">
        <v>1</v>
      </c>
      <c r="H2951" t="str">
        <f>"00000000"</f>
        <v>00000000</v>
      </c>
      <c r="I2951" t="s">
        <v>35</v>
      </c>
      <c r="J2951"/>
      <c r="K2951">
        <v>14.59</v>
      </c>
      <c r="L2951">
        <v>7.19</v>
      </c>
      <c r="M2951"/>
      <c r="N2951"/>
      <c r="O2951">
        <v>2.63</v>
      </c>
      <c r="P2951">
        <v>0.2</v>
      </c>
      <c r="Q2951">
        <v>24.61</v>
      </c>
      <c r="R2951"/>
      <c r="S2951"/>
      <c r="T2951"/>
      <c r="U2951"/>
      <c r="V2951"/>
      <c r="W2951">
        <v>18</v>
      </c>
    </row>
    <row r="2952" spans="1:23">
      <c r="A2952"/>
      <c r="B2952" t="s">
        <v>78</v>
      </c>
      <c r="C2952" t="s">
        <v>78</v>
      </c>
      <c r="D2952" t="s">
        <v>33</v>
      </c>
      <c r="E2952" t="s">
        <v>34</v>
      </c>
      <c r="F2952" t="str">
        <f>"0003253"</f>
        <v>0003253</v>
      </c>
      <c r="G2952">
        <v>1</v>
      </c>
      <c r="H2952" t="str">
        <f>"00000000"</f>
        <v>00000000</v>
      </c>
      <c r="I2952" t="s">
        <v>35</v>
      </c>
      <c r="J2952"/>
      <c r="K2952">
        <v>17.31</v>
      </c>
      <c r="L2952">
        <v>0.0</v>
      </c>
      <c r="M2952"/>
      <c r="N2952"/>
      <c r="O2952">
        <v>3.11</v>
      </c>
      <c r="P2952">
        <v>0.2</v>
      </c>
      <c r="Q2952">
        <v>20.62</v>
      </c>
      <c r="R2952"/>
      <c r="S2952"/>
      <c r="T2952"/>
      <c r="U2952"/>
      <c r="V2952"/>
      <c r="W2952">
        <v>18</v>
      </c>
    </row>
    <row r="2953" spans="1:23">
      <c r="A2953"/>
      <c r="B2953" t="s">
        <v>78</v>
      </c>
      <c r="C2953" t="s">
        <v>78</v>
      </c>
      <c r="D2953" t="s">
        <v>33</v>
      </c>
      <c r="E2953" t="s">
        <v>34</v>
      </c>
      <c r="F2953" t="str">
        <f>"0003254"</f>
        <v>0003254</v>
      </c>
      <c r="G2953">
        <v>1</v>
      </c>
      <c r="H2953" t="str">
        <f>"00000000"</f>
        <v>00000000</v>
      </c>
      <c r="I2953" t="s">
        <v>35</v>
      </c>
      <c r="J2953"/>
      <c r="K2953">
        <v>21.88</v>
      </c>
      <c r="L2953">
        <v>0.0</v>
      </c>
      <c r="M2953"/>
      <c r="N2953"/>
      <c r="O2953">
        <v>3.94</v>
      </c>
      <c r="P2953">
        <v>0.2</v>
      </c>
      <c r="Q2953">
        <v>26.02</v>
      </c>
      <c r="R2953"/>
      <c r="S2953"/>
      <c r="T2953"/>
      <c r="U2953"/>
      <c r="V2953"/>
      <c r="W2953">
        <v>18</v>
      </c>
    </row>
    <row r="2954" spans="1:23">
      <c r="A2954"/>
      <c r="B2954" t="s">
        <v>78</v>
      </c>
      <c r="C2954" t="s">
        <v>78</v>
      </c>
      <c r="D2954" t="s">
        <v>33</v>
      </c>
      <c r="E2954" t="s">
        <v>34</v>
      </c>
      <c r="F2954" t="str">
        <f>"0003255"</f>
        <v>0003255</v>
      </c>
      <c r="G2954">
        <v>1</v>
      </c>
      <c r="H2954" t="str">
        <f>"00000000"</f>
        <v>00000000</v>
      </c>
      <c r="I2954" t="s">
        <v>35</v>
      </c>
      <c r="J2954"/>
      <c r="K2954">
        <v>17.71</v>
      </c>
      <c r="L2954">
        <v>0.0</v>
      </c>
      <c r="M2954"/>
      <c r="N2954"/>
      <c r="O2954">
        <v>3.19</v>
      </c>
      <c r="P2954">
        <v>0.0</v>
      </c>
      <c r="Q2954">
        <v>20.9</v>
      </c>
      <c r="R2954"/>
      <c r="S2954"/>
      <c r="T2954"/>
      <c r="U2954"/>
      <c r="V2954"/>
      <c r="W2954">
        <v>18</v>
      </c>
    </row>
    <row r="2955" spans="1:23">
      <c r="A2955"/>
      <c r="B2955" t="s">
        <v>78</v>
      </c>
      <c r="C2955" t="s">
        <v>78</v>
      </c>
      <c r="D2955" t="s">
        <v>33</v>
      </c>
      <c r="E2955" t="s">
        <v>34</v>
      </c>
      <c r="F2955" t="str">
        <f>"0003256"</f>
        <v>0003256</v>
      </c>
      <c r="G2955">
        <v>1</v>
      </c>
      <c r="H2955" t="str">
        <f>"00000000"</f>
        <v>00000000</v>
      </c>
      <c r="I2955" t="s">
        <v>35</v>
      </c>
      <c r="J2955"/>
      <c r="K2955">
        <v>15.25</v>
      </c>
      <c r="L2955">
        <v>0.0</v>
      </c>
      <c r="M2955"/>
      <c r="N2955"/>
      <c r="O2955">
        <v>2.75</v>
      </c>
      <c r="P2955">
        <v>0.0</v>
      </c>
      <c r="Q2955">
        <v>18.0</v>
      </c>
      <c r="R2955"/>
      <c r="S2955"/>
      <c r="T2955"/>
      <c r="U2955"/>
      <c r="V2955"/>
      <c r="W2955">
        <v>18</v>
      </c>
    </row>
    <row r="2956" spans="1:23">
      <c r="A2956"/>
      <c r="B2956" t="s">
        <v>78</v>
      </c>
      <c r="C2956" t="s">
        <v>78</v>
      </c>
      <c r="D2956" t="s">
        <v>33</v>
      </c>
      <c r="E2956" t="s">
        <v>34</v>
      </c>
      <c r="F2956" t="str">
        <f>"0003257"</f>
        <v>0003257</v>
      </c>
      <c r="G2956">
        <v>1</v>
      </c>
      <c r="H2956" t="str">
        <f>"00000000"</f>
        <v>00000000</v>
      </c>
      <c r="I2956" t="s">
        <v>35</v>
      </c>
      <c r="J2956"/>
      <c r="K2956">
        <v>43.74</v>
      </c>
      <c r="L2956">
        <v>0.0</v>
      </c>
      <c r="M2956"/>
      <c r="N2956"/>
      <c r="O2956">
        <v>7.87</v>
      </c>
      <c r="P2956">
        <v>0.2</v>
      </c>
      <c r="Q2956">
        <v>51.81</v>
      </c>
      <c r="R2956"/>
      <c r="S2956"/>
      <c r="T2956"/>
      <c r="U2956"/>
      <c r="V2956"/>
      <c r="W2956">
        <v>18</v>
      </c>
    </row>
    <row r="2957" spans="1:23">
      <c r="A2957"/>
      <c r="B2957" t="s">
        <v>78</v>
      </c>
      <c r="C2957" t="s">
        <v>78</v>
      </c>
      <c r="D2957" t="s">
        <v>33</v>
      </c>
      <c r="E2957" t="s">
        <v>34</v>
      </c>
      <c r="F2957" t="str">
        <f>"0003258"</f>
        <v>0003258</v>
      </c>
      <c r="G2957">
        <v>1</v>
      </c>
      <c r="H2957" t="str">
        <f>"00000000"</f>
        <v>00000000</v>
      </c>
      <c r="I2957" t="s">
        <v>35</v>
      </c>
      <c r="J2957"/>
      <c r="K2957">
        <v>3.39</v>
      </c>
      <c r="L2957">
        <v>8.93</v>
      </c>
      <c r="M2957"/>
      <c r="N2957"/>
      <c r="O2957">
        <v>0.61</v>
      </c>
      <c r="P2957">
        <v>0.0</v>
      </c>
      <c r="Q2957">
        <v>12.93</v>
      </c>
      <c r="R2957"/>
      <c r="S2957"/>
      <c r="T2957"/>
      <c r="U2957"/>
      <c r="V2957"/>
      <c r="W2957">
        <v>18</v>
      </c>
    </row>
    <row r="2958" spans="1:23">
      <c r="A2958"/>
      <c r="B2958" t="s">
        <v>78</v>
      </c>
      <c r="C2958" t="s">
        <v>78</v>
      </c>
      <c r="D2958" t="s">
        <v>33</v>
      </c>
      <c r="E2958" t="s">
        <v>34</v>
      </c>
      <c r="F2958" t="str">
        <f>"0003259"</f>
        <v>0003259</v>
      </c>
      <c r="G2958">
        <v>1</v>
      </c>
      <c r="H2958" t="str">
        <f>"00000000"</f>
        <v>00000000</v>
      </c>
      <c r="I2958" t="s">
        <v>35</v>
      </c>
      <c r="J2958"/>
      <c r="K2958">
        <v>11.86</v>
      </c>
      <c r="L2958">
        <v>0.0</v>
      </c>
      <c r="M2958"/>
      <c r="N2958"/>
      <c r="O2958">
        <v>2.14</v>
      </c>
      <c r="P2958">
        <v>0.0</v>
      </c>
      <c r="Q2958">
        <v>14.0</v>
      </c>
      <c r="R2958"/>
      <c r="S2958"/>
      <c r="T2958"/>
      <c r="U2958"/>
      <c r="V2958"/>
      <c r="W2958">
        <v>18</v>
      </c>
    </row>
    <row r="2959" spans="1:23">
      <c r="A2959"/>
      <c r="B2959" t="s">
        <v>78</v>
      </c>
      <c r="C2959" t="s">
        <v>78</v>
      </c>
      <c r="D2959" t="s">
        <v>33</v>
      </c>
      <c r="E2959" t="s">
        <v>34</v>
      </c>
      <c r="F2959" t="str">
        <f>"0003260"</f>
        <v>0003260</v>
      </c>
      <c r="G2959">
        <v>1</v>
      </c>
      <c r="H2959" t="str">
        <f>"00000000"</f>
        <v>00000000</v>
      </c>
      <c r="I2959" t="s">
        <v>35</v>
      </c>
      <c r="J2959"/>
      <c r="K2959">
        <v>9.24</v>
      </c>
      <c r="L2959">
        <v>0.0</v>
      </c>
      <c r="M2959"/>
      <c r="N2959"/>
      <c r="O2959">
        <v>1.66</v>
      </c>
      <c r="P2959">
        <v>0.0</v>
      </c>
      <c r="Q2959">
        <v>10.9</v>
      </c>
      <c r="R2959"/>
      <c r="S2959"/>
      <c r="T2959"/>
      <c r="U2959"/>
      <c r="V2959"/>
      <c r="W2959">
        <v>18</v>
      </c>
    </row>
    <row r="2960" spans="1:23">
      <c r="A2960"/>
      <c r="B2960" t="s">
        <v>78</v>
      </c>
      <c r="C2960" t="s">
        <v>78</v>
      </c>
      <c r="D2960" t="s">
        <v>33</v>
      </c>
      <c r="E2960" t="s">
        <v>34</v>
      </c>
      <c r="F2960" t="str">
        <f>"0003261"</f>
        <v>0003261</v>
      </c>
      <c r="G2960">
        <v>1</v>
      </c>
      <c r="H2960" t="str">
        <f>"00000000"</f>
        <v>00000000</v>
      </c>
      <c r="I2960" t="s">
        <v>35</v>
      </c>
      <c r="J2960"/>
      <c r="K2960">
        <v>4.58</v>
      </c>
      <c r="L2960">
        <v>0.95</v>
      </c>
      <c r="M2960"/>
      <c r="N2960"/>
      <c r="O2960">
        <v>0.82</v>
      </c>
      <c r="P2960">
        <v>0.0</v>
      </c>
      <c r="Q2960">
        <v>6.35</v>
      </c>
      <c r="R2960"/>
      <c r="S2960"/>
      <c r="T2960"/>
      <c r="U2960"/>
      <c r="V2960"/>
      <c r="W2960">
        <v>18</v>
      </c>
    </row>
    <row r="2961" spans="1:23">
      <c r="A2961"/>
      <c r="B2961" t="s">
        <v>79</v>
      </c>
      <c r="C2961" t="s">
        <v>79</v>
      </c>
      <c r="D2961" t="s">
        <v>33</v>
      </c>
      <c r="E2961" t="s">
        <v>34</v>
      </c>
      <c r="F2961" t="str">
        <f>"0003262"</f>
        <v>0003262</v>
      </c>
      <c r="G2961">
        <v>1</v>
      </c>
      <c r="H2961" t="str">
        <f>"00000000"</f>
        <v>00000000</v>
      </c>
      <c r="I2961" t="s">
        <v>35</v>
      </c>
      <c r="J2961"/>
      <c r="K2961">
        <v>8.45</v>
      </c>
      <c r="L2961">
        <v>0.0</v>
      </c>
      <c r="M2961"/>
      <c r="N2961"/>
      <c r="O2961">
        <v>1.52</v>
      </c>
      <c r="P2961">
        <v>0.0</v>
      </c>
      <c r="Q2961">
        <v>9.98</v>
      </c>
      <c r="R2961"/>
      <c r="S2961"/>
      <c r="T2961"/>
      <c r="U2961"/>
      <c r="V2961"/>
      <c r="W2961">
        <v>18</v>
      </c>
    </row>
    <row r="2962" spans="1:23">
      <c r="A2962"/>
      <c r="B2962" t="s">
        <v>79</v>
      </c>
      <c r="C2962" t="s">
        <v>79</v>
      </c>
      <c r="D2962" t="s">
        <v>33</v>
      </c>
      <c r="E2962" t="s">
        <v>34</v>
      </c>
      <c r="F2962" t="str">
        <f>"0003263"</f>
        <v>0003263</v>
      </c>
      <c r="G2962">
        <v>1</v>
      </c>
      <c r="H2962" t="str">
        <f>"00000000"</f>
        <v>00000000</v>
      </c>
      <c r="I2962" t="s">
        <v>35</v>
      </c>
      <c r="J2962"/>
      <c r="K2962">
        <v>7.41</v>
      </c>
      <c r="L2962">
        <v>0.0</v>
      </c>
      <c r="M2962"/>
      <c r="N2962"/>
      <c r="O2962">
        <v>1.33</v>
      </c>
      <c r="P2962">
        <v>0.2</v>
      </c>
      <c r="Q2962">
        <v>8.94</v>
      </c>
      <c r="R2962"/>
      <c r="S2962"/>
      <c r="T2962"/>
      <c r="U2962"/>
      <c r="V2962"/>
      <c r="W2962">
        <v>18</v>
      </c>
    </row>
    <row r="2963" spans="1:23">
      <c r="A2963"/>
      <c r="B2963" t="s">
        <v>79</v>
      </c>
      <c r="C2963" t="s">
        <v>79</v>
      </c>
      <c r="D2963" t="s">
        <v>33</v>
      </c>
      <c r="E2963" t="s">
        <v>34</v>
      </c>
      <c r="F2963" t="str">
        <f>"0003264"</f>
        <v>0003264</v>
      </c>
      <c r="G2963">
        <v>1</v>
      </c>
      <c r="H2963" t="str">
        <f>"00000000"</f>
        <v>00000000</v>
      </c>
      <c r="I2963" t="s">
        <v>35</v>
      </c>
      <c r="J2963"/>
      <c r="K2963">
        <v>3.81</v>
      </c>
      <c r="L2963">
        <v>0.0</v>
      </c>
      <c r="M2963"/>
      <c r="N2963"/>
      <c r="O2963">
        <v>0.69</v>
      </c>
      <c r="P2963">
        <v>0.0</v>
      </c>
      <c r="Q2963">
        <v>4.5</v>
      </c>
      <c r="R2963"/>
      <c r="S2963"/>
      <c r="T2963"/>
      <c r="U2963"/>
      <c r="V2963"/>
      <c r="W2963">
        <v>18</v>
      </c>
    </row>
    <row r="2964" spans="1:23">
      <c r="A2964"/>
      <c r="B2964" t="s">
        <v>79</v>
      </c>
      <c r="C2964" t="s">
        <v>79</v>
      </c>
      <c r="D2964" t="s">
        <v>33</v>
      </c>
      <c r="E2964" t="s">
        <v>34</v>
      </c>
      <c r="F2964" t="str">
        <f>"0003265"</f>
        <v>0003265</v>
      </c>
      <c r="G2964">
        <v>1</v>
      </c>
      <c r="H2964" t="str">
        <f>"00000000"</f>
        <v>00000000</v>
      </c>
      <c r="I2964" t="s">
        <v>35</v>
      </c>
      <c r="J2964"/>
      <c r="K2964">
        <v>12.31</v>
      </c>
      <c r="L2964">
        <v>0.0</v>
      </c>
      <c r="M2964"/>
      <c r="N2964"/>
      <c r="O2964">
        <v>2.21</v>
      </c>
      <c r="P2964">
        <v>0.2</v>
      </c>
      <c r="Q2964">
        <v>14.72</v>
      </c>
      <c r="R2964"/>
      <c r="S2964"/>
      <c r="T2964"/>
      <c r="U2964"/>
      <c r="V2964"/>
      <c r="W2964">
        <v>18</v>
      </c>
    </row>
    <row r="2965" spans="1:23">
      <c r="A2965"/>
      <c r="B2965" t="s">
        <v>79</v>
      </c>
      <c r="C2965" t="s">
        <v>79</v>
      </c>
      <c r="D2965" t="s">
        <v>33</v>
      </c>
      <c r="E2965" t="s">
        <v>34</v>
      </c>
      <c r="F2965" t="str">
        <f>"0003266"</f>
        <v>0003266</v>
      </c>
      <c r="G2965">
        <v>1</v>
      </c>
      <c r="H2965" t="str">
        <f>"00000000"</f>
        <v>00000000</v>
      </c>
      <c r="I2965" t="s">
        <v>35</v>
      </c>
      <c r="J2965"/>
      <c r="K2965">
        <v>9.64</v>
      </c>
      <c r="L2965">
        <v>1.25</v>
      </c>
      <c r="M2965"/>
      <c r="N2965"/>
      <c r="O2965">
        <v>1.74</v>
      </c>
      <c r="P2965">
        <v>0.2</v>
      </c>
      <c r="Q2965">
        <v>12.83</v>
      </c>
      <c r="R2965"/>
      <c r="S2965"/>
      <c r="T2965"/>
      <c r="U2965"/>
      <c r="V2965"/>
      <c r="W2965">
        <v>18</v>
      </c>
    </row>
    <row r="2966" spans="1:23">
      <c r="A2966"/>
      <c r="B2966" t="s">
        <v>79</v>
      </c>
      <c r="C2966" t="s">
        <v>79</v>
      </c>
      <c r="D2966" t="s">
        <v>33</v>
      </c>
      <c r="E2966" t="s">
        <v>34</v>
      </c>
      <c r="F2966" t="str">
        <f>"0003267"</f>
        <v>0003267</v>
      </c>
      <c r="G2966">
        <v>1</v>
      </c>
      <c r="H2966" t="str">
        <f>"00000000"</f>
        <v>00000000</v>
      </c>
      <c r="I2966" t="s">
        <v>35</v>
      </c>
      <c r="J2966"/>
      <c r="K2966">
        <v>13.47</v>
      </c>
      <c r="L2966">
        <v>0.0</v>
      </c>
      <c r="M2966"/>
      <c r="N2966"/>
      <c r="O2966">
        <v>2.43</v>
      </c>
      <c r="P2966">
        <v>0.0</v>
      </c>
      <c r="Q2966">
        <v>15.9</v>
      </c>
      <c r="R2966"/>
      <c r="S2966"/>
      <c r="T2966"/>
      <c r="U2966"/>
      <c r="V2966"/>
      <c r="W2966">
        <v>18</v>
      </c>
    </row>
    <row r="2967" spans="1:23">
      <c r="A2967"/>
      <c r="B2967" t="s">
        <v>79</v>
      </c>
      <c r="C2967" t="s">
        <v>79</v>
      </c>
      <c r="D2967" t="s">
        <v>33</v>
      </c>
      <c r="E2967" t="s">
        <v>34</v>
      </c>
      <c r="F2967" t="str">
        <f>"0003268"</f>
        <v>0003268</v>
      </c>
      <c r="G2967">
        <v>1</v>
      </c>
      <c r="H2967" t="str">
        <f>"00000000"</f>
        <v>00000000</v>
      </c>
      <c r="I2967" t="s">
        <v>35</v>
      </c>
      <c r="J2967"/>
      <c r="K2967">
        <v>30.13</v>
      </c>
      <c r="L2967">
        <v>3.54</v>
      </c>
      <c r="M2967"/>
      <c r="N2967"/>
      <c r="O2967">
        <v>5.42</v>
      </c>
      <c r="P2967">
        <v>0.0</v>
      </c>
      <c r="Q2967">
        <v>39.09</v>
      </c>
      <c r="R2967"/>
      <c r="S2967"/>
      <c r="T2967"/>
      <c r="U2967"/>
      <c r="V2967"/>
      <c r="W2967">
        <v>18</v>
      </c>
    </row>
    <row r="2968" spans="1:23">
      <c r="A2968"/>
      <c r="B2968" t="s">
        <v>79</v>
      </c>
      <c r="C2968" t="s">
        <v>79</v>
      </c>
      <c r="D2968" t="s">
        <v>33</v>
      </c>
      <c r="E2968" t="s">
        <v>34</v>
      </c>
      <c r="F2968" t="str">
        <f>"0003269"</f>
        <v>0003269</v>
      </c>
      <c r="G2968">
        <v>1</v>
      </c>
      <c r="H2968" t="str">
        <f>"00000000"</f>
        <v>00000000</v>
      </c>
      <c r="I2968" t="s">
        <v>35</v>
      </c>
      <c r="J2968"/>
      <c r="K2968">
        <v>1.53</v>
      </c>
      <c r="L2968">
        <v>0.0</v>
      </c>
      <c r="M2968"/>
      <c r="N2968"/>
      <c r="O2968">
        <v>0.27</v>
      </c>
      <c r="P2968">
        <v>0.0</v>
      </c>
      <c r="Q2968">
        <v>1.8</v>
      </c>
      <c r="R2968"/>
      <c r="S2968"/>
      <c r="T2968"/>
      <c r="U2968"/>
      <c r="V2968"/>
      <c r="W2968">
        <v>18</v>
      </c>
    </row>
    <row r="2969" spans="1:23">
      <c r="A2969"/>
      <c r="B2969" t="s">
        <v>79</v>
      </c>
      <c r="C2969" t="s">
        <v>79</v>
      </c>
      <c r="D2969" t="s">
        <v>33</v>
      </c>
      <c r="E2969" t="s">
        <v>34</v>
      </c>
      <c r="F2969" t="str">
        <f>"0003270"</f>
        <v>0003270</v>
      </c>
      <c r="G2969">
        <v>1</v>
      </c>
      <c r="H2969" t="str">
        <f>"00000000"</f>
        <v>00000000</v>
      </c>
      <c r="I2969" t="s">
        <v>35</v>
      </c>
      <c r="J2969"/>
      <c r="K2969">
        <v>2.54</v>
      </c>
      <c r="L2969">
        <v>2.78</v>
      </c>
      <c r="M2969"/>
      <c r="N2969"/>
      <c r="O2969">
        <v>0.46</v>
      </c>
      <c r="P2969">
        <v>0.0</v>
      </c>
      <c r="Q2969">
        <v>5.78</v>
      </c>
      <c r="R2969"/>
      <c r="S2969"/>
      <c r="T2969"/>
      <c r="U2969"/>
      <c r="V2969"/>
      <c r="W2969">
        <v>18</v>
      </c>
    </row>
    <row r="2970" spans="1:23">
      <c r="A2970"/>
      <c r="B2970" t="s">
        <v>79</v>
      </c>
      <c r="C2970" t="s">
        <v>79</v>
      </c>
      <c r="D2970" t="s">
        <v>33</v>
      </c>
      <c r="E2970" t="s">
        <v>34</v>
      </c>
      <c r="F2970" t="str">
        <f>"0003271"</f>
        <v>0003271</v>
      </c>
      <c r="G2970">
        <v>1</v>
      </c>
      <c r="H2970" t="str">
        <f>"00000000"</f>
        <v>00000000</v>
      </c>
      <c r="I2970" t="s">
        <v>35</v>
      </c>
      <c r="J2970"/>
      <c r="K2970">
        <v>5.76</v>
      </c>
      <c r="L2970">
        <v>0.0</v>
      </c>
      <c r="M2970"/>
      <c r="N2970"/>
      <c r="O2970">
        <v>1.04</v>
      </c>
      <c r="P2970">
        <v>0.0</v>
      </c>
      <c r="Q2970">
        <v>6.8</v>
      </c>
      <c r="R2970"/>
      <c r="S2970"/>
      <c r="T2970"/>
      <c r="U2970"/>
      <c r="V2970"/>
      <c r="W2970">
        <v>18</v>
      </c>
    </row>
    <row r="2971" spans="1:23">
      <c r="A2971"/>
      <c r="B2971" t="s">
        <v>79</v>
      </c>
      <c r="C2971" t="s">
        <v>79</v>
      </c>
      <c r="D2971" t="s">
        <v>33</v>
      </c>
      <c r="E2971" t="s">
        <v>34</v>
      </c>
      <c r="F2971" t="str">
        <f>"0003272"</f>
        <v>0003272</v>
      </c>
      <c r="G2971">
        <v>1</v>
      </c>
      <c r="H2971" t="str">
        <f>"00000000"</f>
        <v>00000000</v>
      </c>
      <c r="I2971" t="s">
        <v>35</v>
      </c>
      <c r="J2971"/>
      <c r="K2971">
        <v>7.94</v>
      </c>
      <c r="L2971">
        <v>2.31</v>
      </c>
      <c r="M2971"/>
      <c r="N2971"/>
      <c r="O2971">
        <v>1.43</v>
      </c>
      <c r="P2971">
        <v>0.2</v>
      </c>
      <c r="Q2971">
        <v>11.88</v>
      </c>
      <c r="R2971"/>
      <c r="S2971"/>
      <c r="T2971"/>
      <c r="U2971"/>
      <c r="V2971"/>
      <c r="W2971">
        <v>18</v>
      </c>
    </row>
    <row r="2972" spans="1:23">
      <c r="A2972"/>
      <c r="B2972" t="s">
        <v>79</v>
      </c>
      <c r="C2972" t="s">
        <v>79</v>
      </c>
      <c r="D2972" t="s">
        <v>33</v>
      </c>
      <c r="E2972" t="s">
        <v>34</v>
      </c>
      <c r="F2972" t="str">
        <f>"0003273"</f>
        <v>0003273</v>
      </c>
      <c r="G2972">
        <v>1</v>
      </c>
      <c r="H2972" t="str">
        <f>"00000000"</f>
        <v>00000000</v>
      </c>
      <c r="I2972" t="s">
        <v>35</v>
      </c>
      <c r="J2972"/>
      <c r="K2972">
        <v>2.49</v>
      </c>
      <c r="L2972">
        <v>3.7</v>
      </c>
      <c r="M2972"/>
      <c r="N2972"/>
      <c r="O2972">
        <v>0.45</v>
      </c>
      <c r="P2972">
        <v>0.0</v>
      </c>
      <c r="Q2972">
        <v>6.64</v>
      </c>
      <c r="R2972"/>
      <c r="S2972"/>
      <c r="T2972"/>
      <c r="U2972"/>
      <c r="V2972"/>
      <c r="W2972">
        <v>18</v>
      </c>
    </row>
    <row r="2973" spans="1:23">
      <c r="A2973"/>
      <c r="B2973" t="s">
        <v>79</v>
      </c>
      <c r="C2973" t="s">
        <v>79</v>
      </c>
      <c r="D2973" t="s">
        <v>33</v>
      </c>
      <c r="E2973" t="s">
        <v>34</v>
      </c>
      <c r="F2973" t="str">
        <f>"0003274"</f>
        <v>0003274</v>
      </c>
      <c r="G2973">
        <v>1</v>
      </c>
      <c r="H2973" t="str">
        <f>"00000000"</f>
        <v>00000000</v>
      </c>
      <c r="I2973" t="s">
        <v>35</v>
      </c>
      <c r="J2973"/>
      <c r="K2973">
        <v>2.26</v>
      </c>
      <c r="L2973">
        <v>2.21</v>
      </c>
      <c r="M2973"/>
      <c r="N2973"/>
      <c r="O2973">
        <v>0.41</v>
      </c>
      <c r="P2973">
        <v>0.0</v>
      </c>
      <c r="Q2973">
        <v>4.88</v>
      </c>
      <c r="R2973"/>
      <c r="S2973"/>
      <c r="T2973"/>
      <c r="U2973"/>
      <c r="V2973"/>
      <c r="W2973">
        <v>18</v>
      </c>
    </row>
    <row r="2974" spans="1:23">
      <c r="A2974"/>
      <c r="B2974" t="s">
        <v>79</v>
      </c>
      <c r="C2974" t="s">
        <v>79</v>
      </c>
      <c r="D2974" t="s">
        <v>33</v>
      </c>
      <c r="E2974" t="s">
        <v>34</v>
      </c>
      <c r="F2974" t="str">
        <f>"0003275"</f>
        <v>0003275</v>
      </c>
      <c r="G2974">
        <v>1</v>
      </c>
      <c r="H2974" t="str">
        <f>"00000000"</f>
        <v>00000000</v>
      </c>
      <c r="I2974" t="s">
        <v>35</v>
      </c>
      <c r="J2974"/>
      <c r="K2974">
        <v>27.05</v>
      </c>
      <c r="L2974">
        <v>0.0</v>
      </c>
      <c r="M2974"/>
      <c r="N2974"/>
      <c r="O2974">
        <v>4.87</v>
      </c>
      <c r="P2974">
        <v>0.2</v>
      </c>
      <c r="Q2974">
        <v>32.12</v>
      </c>
      <c r="R2974"/>
      <c r="S2974"/>
      <c r="T2974"/>
      <c r="U2974"/>
      <c r="V2974"/>
      <c r="W2974">
        <v>18</v>
      </c>
    </row>
    <row r="2975" spans="1:23">
      <c r="A2975"/>
      <c r="B2975" t="s">
        <v>79</v>
      </c>
      <c r="C2975" t="s">
        <v>79</v>
      </c>
      <c r="D2975" t="s">
        <v>36</v>
      </c>
      <c r="E2975" t="s">
        <v>37</v>
      </c>
      <c r="F2975" t="str">
        <f>"0000044"</f>
        <v>0000044</v>
      </c>
      <c r="G2975">
        <v>6</v>
      </c>
      <c r="H2975" t="str">
        <f>"20601359406"</f>
        <v>20601359406</v>
      </c>
      <c r="I2975" t="s">
        <v>80</v>
      </c>
      <c r="J2975"/>
      <c r="K2975">
        <v>20.65</v>
      </c>
      <c r="L2975">
        <v>7.13</v>
      </c>
      <c r="M2975"/>
      <c r="N2975"/>
      <c r="O2975">
        <v>3.72</v>
      </c>
      <c r="P2975">
        <v>0.2</v>
      </c>
      <c r="Q2975">
        <v>31.7</v>
      </c>
      <c r="R2975"/>
      <c r="S2975"/>
      <c r="T2975"/>
      <c r="U2975"/>
      <c r="V2975"/>
      <c r="W2975">
        <v>18</v>
      </c>
    </row>
    <row r="2976" spans="1:23">
      <c r="A2976"/>
      <c r="B2976" t="s">
        <v>79</v>
      </c>
      <c r="C2976" t="s">
        <v>79</v>
      </c>
      <c r="D2976" t="s">
        <v>33</v>
      </c>
      <c r="E2976" t="s">
        <v>34</v>
      </c>
      <c r="F2976" t="str">
        <f>"0003276"</f>
        <v>0003276</v>
      </c>
      <c r="G2976">
        <v>1</v>
      </c>
      <c r="H2976" t="str">
        <f>"00000000"</f>
        <v>00000000</v>
      </c>
      <c r="I2976" t="s">
        <v>35</v>
      </c>
      <c r="J2976"/>
      <c r="K2976">
        <v>2.12</v>
      </c>
      <c r="L2976">
        <v>0.0</v>
      </c>
      <c r="M2976"/>
      <c r="N2976"/>
      <c r="O2976">
        <v>0.38</v>
      </c>
      <c r="P2976">
        <v>0.0</v>
      </c>
      <c r="Q2976">
        <v>2.5</v>
      </c>
      <c r="R2976"/>
      <c r="S2976"/>
      <c r="T2976"/>
      <c r="U2976"/>
      <c r="V2976"/>
      <c r="W2976">
        <v>18</v>
      </c>
    </row>
    <row r="2977" spans="1:23">
      <c r="A2977"/>
      <c r="B2977" t="s">
        <v>79</v>
      </c>
      <c r="C2977" t="s">
        <v>79</v>
      </c>
      <c r="D2977" t="s">
        <v>33</v>
      </c>
      <c r="E2977" t="s">
        <v>34</v>
      </c>
      <c r="F2977" t="str">
        <f>"0003277"</f>
        <v>0003277</v>
      </c>
      <c r="G2977">
        <v>1</v>
      </c>
      <c r="H2977" t="str">
        <f>"00000000"</f>
        <v>00000000</v>
      </c>
      <c r="I2977" t="s">
        <v>35</v>
      </c>
      <c r="J2977"/>
      <c r="K2977">
        <v>1.17</v>
      </c>
      <c r="L2977">
        <v>12.32</v>
      </c>
      <c r="M2977"/>
      <c r="N2977"/>
      <c r="O2977">
        <v>0.21</v>
      </c>
      <c r="P2977">
        <v>0.0</v>
      </c>
      <c r="Q2977">
        <v>13.7</v>
      </c>
      <c r="R2977"/>
      <c r="S2977"/>
      <c r="T2977"/>
      <c r="U2977"/>
      <c r="V2977"/>
      <c r="W2977">
        <v>18</v>
      </c>
    </row>
    <row r="2978" spans="1:23">
      <c r="A2978"/>
      <c r="B2978" t="s">
        <v>79</v>
      </c>
      <c r="C2978" t="s">
        <v>79</v>
      </c>
      <c r="D2978" t="s">
        <v>33</v>
      </c>
      <c r="E2978" t="s">
        <v>34</v>
      </c>
      <c r="F2978" t="str">
        <f>"0003278"</f>
        <v>0003278</v>
      </c>
      <c r="G2978">
        <v>1</v>
      </c>
      <c r="H2978" t="str">
        <f>"00000000"</f>
        <v>00000000</v>
      </c>
      <c r="I2978" t="s">
        <v>35</v>
      </c>
      <c r="J2978"/>
      <c r="K2978">
        <v>2.12</v>
      </c>
      <c r="L2978">
        <v>0.0</v>
      </c>
      <c r="M2978"/>
      <c r="N2978"/>
      <c r="O2978">
        <v>0.38</v>
      </c>
      <c r="P2978">
        <v>0.0</v>
      </c>
      <c r="Q2978">
        <v>2.5</v>
      </c>
      <c r="R2978"/>
      <c r="S2978"/>
      <c r="T2978"/>
      <c r="U2978"/>
      <c r="V2978"/>
      <c r="W2978">
        <v>18</v>
      </c>
    </row>
    <row r="2979" spans="1:23">
      <c r="A2979"/>
      <c r="B2979" t="s">
        <v>79</v>
      </c>
      <c r="C2979" t="s">
        <v>79</v>
      </c>
      <c r="D2979" t="s">
        <v>33</v>
      </c>
      <c r="E2979" t="s">
        <v>34</v>
      </c>
      <c r="F2979" t="str">
        <f>"0003279"</f>
        <v>0003279</v>
      </c>
      <c r="G2979">
        <v>1</v>
      </c>
      <c r="H2979" t="str">
        <f>"00000000"</f>
        <v>00000000</v>
      </c>
      <c r="I2979" t="s">
        <v>35</v>
      </c>
      <c r="J2979"/>
      <c r="K2979">
        <v>1.27</v>
      </c>
      <c r="L2979">
        <v>0.0</v>
      </c>
      <c r="M2979"/>
      <c r="N2979"/>
      <c r="O2979">
        <v>0.23</v>
      </c>
      <c r="P2979">
        <v>0.0</v>
      </c>
      <c r="Q2979">
        <v>1.5</v>
      </c>
      <c r="R2979"/>
      <c r="S2979"/>
      <c r="T2979"/>
      <c r="U2979"/>
      <c r="V2979"/>
      <c r="W2979">
        <v>18</v>
      </c>
    </row>
    <row r="2980" spans="1:23">
      <c r="A2980"/>
      <c r="B2980" t="s">
        <v>79</v>
      </c>
      <c r="C2980" t="s">
        <v>79</v>
      </c>
      <c r="D2980" t="s">
        <v>33</v>
      </c>
      <c r="E2980" t="s">
        <v>34</v>
      </c>
      <c r="F2980" t="str">
        <f>"0003280"</f>
        <v>0003280</v>
      </c>
      <c r="G2980">
        <v>1</v>
      </c>
      <c r="H2980" t="str">
        <f>"00000000"</f>
        <v>00000000</v>
      </c>
      <c r="I2980" t="s">
        <v>35</v>
      </c>
      <c r="J2980"/>
      <c r="K2980">
        <v>3.98</v>
      </c>
      <c r="L2980">
        <v>0.0</v>
      </c>
      <c r="M2980"/>
      <c r="N2980"/>
      <c r="O2980">
        <v>0.72</v>
      </c>
      <c r="P2980">
        <v>0.0</v>
      </c>
      <c r="Q2980">
        <v>4.7</v>
      </c>
      <c r="R2980"/>
      <c r="S2980"/>
      <c r="T2980"/>
      <c r="U2980"/>
      <c r="V2980"/>
      <c r="W2980">
        <v>18</v>
      </c>
    </row>
    <row r="2981" spans="1:23">
      <c r="A2981"/>
      <c r="B2981" t="s">
        <v>79</v>
      </c>
      <c r="C2981" t="s">
        <v>79</v>
      </c>
      <c r="D2981" t="s">
        <v>33</v>
      </c>
      <c r="E2981" t="s">
        <v>34</v>
      </c>
      <c r="F2981" t="str">
        <f>"0003281"</f>
        <v>0003281</v>
      </c>
      <c r="G2981">
        <v>1</v>
      </c>
      <c r="H2981" t="str">
        <f>"00000000"</f>
        <v>00000000</v>
      </c>
      <c r="I2981" t="s">
        <v>35</v>
      </c>
      <c r="J2981"/>
      <c r="K2981">
        <v>1.86</v>
      </c>
      <c r="L2981">
        <v>9.24</v>
      </c>
      <c r="M2981"/>
      <c r="N2981"/>
      <c r="O2981">
        <v>0.34</v>
      </c>
      <c r="P2981">
        <v>0.0</v>
      </c>
      <c r="Q2981">
        <v>11.44</v>
      </c>
      <c r="R2981"/>
      <c r="S2981"/>
      <c r="T2981"/>
      <c r="U2981"/>
      <c r="V2981"/>
      <c r="W2981">
        <v>18</v>
      </c>
    </row>
    <row r="2982" spans="1:23">
      <c r="A2982"/>
      <c r="B2982" t="s">
        <v>79</v>
      </c>
      <c r="C2982" t="s">
        <v>79</v>
      </c>
      <c r="D2982" t="s">
        <v>33</v>
      </c>
      <c r="E2982" t="s">
        <v>34</v>
      </c>
      <c r="F2982" t="str">
        <f>"0003282"</f>
        <v>0003282</v>
      </c>
      <c r="G2982">
        <v>1</v>
      </c>
      <c r="H2982" t="str">
        <f>"00000000"</f>
        <v>00000000</v>
      </c>
      <c r="I2982" t="s">
        <v>35</v>
      </c>
      <c r="J2982"/>
      <c r="K2982">
        <v>8.47</v>
      </c>
      <c r="L2982">
        <v>0.0</v>
      </c>
      <c r="M2982"/>
      <c r="N2982"/>
      <c r="O2982">
        <v>1.53</v>
      </c>
      <c r="P2982">
        <v>0.0</v>
      </c>
      <c r="Q2982">
        <v>10.0</v>
      </c>
      <c r="R2982"/>
      <c r="S2982"/>
      <c r="T2982"/>
      <c r="U2982"/>
      <c r="V2982"/>
      <c r="W2982">
        <v>18</v>
      </c>
    </row>
    <row r="2983" spans="1:23">
      <c r="A2983"/>
      <c r="B2983" t="s">
        <v>79</v>
      </c>
      <c r="C2983" t="s">
        <v>79</v>
      </c>
      <c r="D2983" t="s">
        <v>33</v>
      </c>
      <c r="E2983" t="s">
        <v>34</v>
      </c>
      <c r="F2983" t="str">
        <f>"0003283"</f>
        <v>0003283</v>
      </c>
      <c r="G2983">
        <v>1</v>
      </c>
      <c r="H2983" t="str">
        <f>"00000000"</f>
        <v>00000000</v>
      </c>
      <c r="I2983" t="s">
        <v>35</v>
      </c>
      <c r="J2983"/>
      <c r="K2983">
        <v>114.98</v>
      </c>
      <c r="L2983">
        <v>0.0</v>
      </c>
      <c r="M2983"/>
      <c r="N2983"/>
      <c r="O2983">
        <v>20.7</v>
      </c>
      <c r="P2983">
        <v>0.4</v>
      </c>
      <c r="Q2983">
        <v>136.08</v>
      </c>
      <c r="R2983"/>
      <c r="S2983"/>
      <c r="T2983"/>
      <c r="U2983"/>
      <c r="V2983"/>
      <c r="W2983">
        <v>18</v>
      </c>
    </row>
    <row r="2984" spans="1:23">
      <c r="A2984"/>
      <c r="B2984" t="s">
        <v>79</v>
      </c>
      <c r="C2984" t="s">
        <v>79</v>
      </c>
      <c r="D2984" t="s">
        <v>33</v>
      </c>
      <c r="E2984" t="s">
        <v>34</v>
      </c>
      <c r="F2984" t="str">
        <f>"0003284"</f>
        <v>0003284</v>
      </c>
      <c r="G2984">
        <v>1</v>
      </c>
      <c r="H2984" t="str">
        <f>"00000000"</f>
        <v>00000000</v>
      </c>
      <c r="I2984" t="s">
        <v>35</v>
      </c>
      <c r="J2984"/>
      <c r="K2984">
        <v>20.38</v>
      </c>
      <c r="L2984">
        <v>2.91</v>
      </c>
      <c r="M2984"/>
      <c r="N2984"/>
      <c r="O2984">
        <v>3.67</v>
      </c>
      <c r="P2984">
        <v>0.0</v>
      </c>
      <c r="Q2984">
        <v>26.96</v>
      </c>
      <c r="R2984"/>
      <c r="S2984"/>
      <c r="T2984"/>
      <c r="U2984"/>
      <c r="V2984"/>
      <c r="W2984">
        <v>18</v>
      </c>
    </row>
    <row r="2985" spans="1:23">
      <c r="A2985"/>
      <c r="B2985" t="s">
        <v>79</v>
      </c>
      <c r="C2985" t="s">
        <v>79</v>
      </c>
      <c r="D2985" t="s">
        <v>33</v>
      </c>
      <c r="E2985" t="s">
        <v>34</v>
      </c>
      <c r="F2985" t="str">
        <f>"0003285"</f>
        <v>0003285</v>
      </c>
      <c r="G2985">
        <v>1</v>
      </c>
      <c r="H2985" t="str">
        <f>"00000000"</f>
        <v>00000000</v>
      </c>
      <c r="I2985" t="s">
        <v>35</v>
      </c>
      <c r="J2985"/>
      <c r="K2985">
        <v>6.44</v>
      </c>
      <c r="L2985">
        <v>0.0</v>
      </c>
      <c r="M2985"/>
      <c r="N2985"/>
      <c r="O2985">
        <v>1.16</v>
      </c>
      <c r="P2985">
        <v>0.0</v>
      </c>
      <c r="Q2985">
        <v>7.6</v>
      </c>
      <c r="R2985"/>
      <c r="S2985"/>
      <c r="T2985"/>
      <c r="U2985"/>
      <c r="V2985"/>
      <c r="W2985">
        <v>18</v>
      </c>
    </row>
    <row r="2986" spans="1:23">
      <c r="A2986"/>
      <c r="B2986" t="s">
        <v>79</v>
      </c>
      <c r="C2986" t="s">
        <v>79</v>
      </c>
      <c r="D2986" t="s">
        <v>33</v>
      </c>
      <c r="E2986" t="s">
        <v>34</v>
      </c>
      <c r="F2986" t="str">
        <f>"0003286"</f>
        <v>0003286</v>
      </c>
      <c r="G2986">
        <v>1</v>
      </c>
      <c r="H2986" t="str">
        <f>"00000000"</f>
        <v>00000000</v>
      </c>
      <c r="I2986" t="s">
        <v>35</v>
      </c>
      <c r="J2986"/>
      <c r="K2986">
        <v>15.81</v>
      </c>
      <c r="L2986">
        <v>0.0</v>
      </c>
      <c r="M2986"/>
      <c r="N2986"/>
      <c r="O2986">
        <v>2.84</v>
      </c>
      <c r="P2986">
        <v>0.2</v>
      </c>
      <c r="Q2986">
        <v>18.85</v>
      </c>
      <c r="R2986"/>
      <c r="S2986"/>
      <c r="T2986"/>
      <c r="U2986"/>
      <c r="V2986"/>
      <c r="W2986">
        <v>18</v>
      </c>
    </row>
    <row r="2987" spans="1:23">
      <c r="A2987"/>
      <c r="B2987" t="s">
        <v>79</v>
      </c>
      <c r="C2987" t="s">
        <v>79</v>
      </c>
      <c r="D2987" t="s">
        <v>33</v>
      </c>
      <c r="E2987" t="s">
        <v>34</v>
      </c>
      <c r="F2987" t="str">
        <f>"0003287"</f>
        <v>0003287</v>
      </c>
      <c r="G2987">
        <v>1</v>
      </c>
      <c r="H2987" t="str">
        <f>"00000000"</f>
        <v>00000000</v>
      </c>
      <c r="I2987" t="s">
        <v>35</v>
      </c>
      <c r="J2987"/>
      <c r="K2987">
        <v>8.52</v>
      </c>
      <c r="L2987">
        <v>8.93</v>
      </c>
      <c r="M2987"/>
      <c r="N2987"/>
      <c r="O2987">
        <v>1.53</v>
      </c>
      <c r="P2987">
        <v>0.0</v>
      </c>
      <c r="Q2987">
        <v>18.98</v>
      </c>
      <c r="R2987"/>
      <c r="S2987"/>
      <c r="T2987"/>
      <c r="U2987"/>
      <c r="V2987"/>
      <c r="W2987">
        <v>18</v>
      </c>
    </row>
    <row r="2988" spans="1:23">
      <c r="A2988"/>
      <c r="B2988" t="s">
        <v>79</v>
      </c>
      <c r="C2988" t="s">
        <v>79</v>
      </c>
      <c r="D2988" t="s">
        <v>33</v>
      </c>
      <c r="E2988" t="s">
        <v>34</v>
      </c>
      <c r="F2988" t="str">
        <f>"0003288"</f>
        <v>0003288</v>
      </c>
      <c r="G2988">
        <v>1</v>
      </c>
      <c r="H2988" t="str">
        <f>"00000000"</f>
        <v>00000000</v>
      </c>
      <c r="I2988" t="s">
        <v>35</v>
      </c>
      <c r="J2988"/>
      <c r="K2988">
        <v>6.36</v>
      </c>
      <c r="L2988">
        <v>0.0</v>
      </c>
      <c r="M2988"/>
      <c r="N2988"/>
      <c r="O2988">
        <v>1.14</v>
      </c>
      <c r="P2988">
        <v>0.0</v>
      </c>
      <c r="Q2988">
        <v>7.5</v>
      </c>
      <c r="R2988"/>
      <c r="S2988"/>
      <c r="T2988"/>
      <c r="U2988"/>
      <c r="V2988"/>
      <c r="W2988">
        <v>18</v>
      </c>
    </row>
    <row r="2989" spans="1:23">
      <c r="A2989"/>
      <c r="B2989" t="s">
        <v>79</v>
      </c>
      <c r="C2989" t="s">
        <v>79</v>
      </c>
      <c r="D2989" t="s">
        <v>33</v>
      </c>
      <c r="E2989" t="s">
        <v>34</v>
      </c>
      <c r="F2989" t="str">
        <f>"0003289"</f>
        <v>0003289</v>
      </c>
      <c r="G2989">
        <v>1</v>
      </c>
      <c r="H2989" t="str">
        <f>"00000000"</f>
        <v>00000000</v>
      </c>
      <c r="I2989" t="s">
        <v>35</v>
      </c>
      <c r="J2989"/>
      <c r="K2989">
        <v>3.81</v>
      </c>
      <c r="L2989">
        <v>0.0</v>
      </c>
      <c r="M2989"/>
      <c r="N2989"/>
      <c r="O2989">
        <v>0.69</v>
      </c>
      <c r="P2989">
        <v>0.0</v>
      </c>
      <c r="Q2989">
        <v>4.5</v>
      </c>
      <c r="R2989"/>
      <c r="S2989"/>
      <c r="T2989"/>
      <c r="U2989"/>
      <c r="V2989"/>
      <c r="W2989">
        <v>18</v>
      </c>
    </row>
    <row r="2990" spans="1:23">
      <c r="A2990"/>
      <c r="B2990" t="s">
        <v>79</v>
      </c>
      <c r="C2990" t="s">
        <v>79</v>
      </c>
      <c r="D2990" t="s">
        <v>33</v>
      </c>
      <c r="E2990" t="s">
        <v>34</v>
      </c>
      <c r="F2990" t="str">
        <f>"0003290"</f>
        <v>0003290</v>
      </c>
      <c r="G2990">
        <v>1</v>
      </c>
      <c r="H2990" t="str">
        <f>"00000000"</f>
        <v>00000000</v>
      </c>
      <c r="I2990" t="s">
        <v>35</v>
      </c>
      <c r="J2990"/>
      <c r="K2990">
        <v>0.0</v>
      </c>
      <c r="L2990">
        <v>1.55</v>
      </c>
      <c r="M2990"/>
      <c r="N2990"/>
      <c r="O2990">
        <v>0.0</v>
      </c>
      <c r="P2990">
        <v>0.0</v>
      </c>
      <c r="Q2990">
        <v>1.55</v>
      </c>
      <c r="R2990"/>
      <c r="S2990"/>
      <c r="T2990"/>
      <c r="U2990"/>
      <c r="V2990"/>
      <c r="W2990">
        <v>18</v>
      </c>
    </row>
    <row r="2991" spans="1:23">
      <c r="A2991"/>
      <c r="B2991" t="s">
        <v>79</v>
      </c>
      <c r="C2991" t="s">
        <v>79</v>
      </c>
      <c r="D2991" t="s">
        <v>33</v>
      </c>
      <c r="E2991" t="s">
        <v>34</v>
      </c>
      <c r="F2991" t="str">
        <f>"0003291"</f>
        <v>0003291</v>
      </c>
      <c r="G2991">
        <v>1</v>
      </c>
      <c r="H2991" t="str">
        <f>"00000000"</f>
        <v>00000000</v>
      </c>
      <c r="I2991" t="s">
        <v>35</v>
      </c>
      <c r="J2991"/>
      <c r="K2991">
        <v>12.61</v>
      </c>
      <c r="L2991">
        <v>6.16</v>
      </c>
      <c r="M2991"/>
      <c r="N2991"/>
      <c r="O2991">
        <v>2.27</v>
      </c>
      <c r="P2991">
        <v>0.0</v>
      </c>
      <c r="Q2991">
        <v>21.04</v>
      </c>
      <c r="R2991"/>
      <c r="S2991"/>
      <c r="T2991"/>
      <c r="U2991"/>
      <c r="V2991"/>
      <c r="W2991">
        <v>18</v>
      </c>
    </row>
    <row r="2992" spans="1:23">
      <c r="A2992"/>
      <c r="B2992" t="s">
        <v>79</v>
      </c>
      <c r="C2992" t="s">
        <v>79</v>
      </c>
      <c r="D2992" t="s">
        <v>33</v>
      </c>
      <c r="E2992" t="s">
        <v>34</v>
      </c>
      <c r="F2992" t="str">
        <f>"0003292"</f>
        <v>0003292</v>
      </c>
      <c r="G2992">
        <v>1</v>
      </c>
      <c r="H2992" t="str">
        <f>"00000000"</f>
        <v>00000000</v>
      </c>
      <c r="I2992" t="s">
        <v>35</v>
      </c>
      <c r="J2992"/>
      <c r="K2992">
        <v>1.1</v>
      </c>
      <c r="L2992">
        <v>0.0</v>
      </c>
      <c r="M2992"/>
      <c r="N2992"/>
      <c r="O2992">
        <v>0.2</v>
      </c>
      <c r="P2992">
        <v>0.0</v>
      </c>
      <c r="Q2992">
        <v>1.3</v>
      </c>
      <c r="R2992"/>
      <c r="S2992"/>
      <c r="T2992"/>
      <c r="U2992"/>
      <c r="V2992"/>
      <c r="W2992">
        <v>18</v>
      </c>
    </row>
    <row r="2993" spans="1:23">
      <c r="A2993"/>
      <c r="B2993" t="s">
        <v>79</v>
      </c>
      <c r="C2993" t="s">
        <v>79</v>
      </c>
      <c r="D2993" t="s">
        <v>33</v>
      </c>
      <c r="E2993" t="s">
        <v>34</v>
      </c>
      <c r="F2993" t="str">
        <f>"0003293"</f>
        <v>0003293</v>
      </c>
      <c r="G2993">
        <v>1</v>
      </c>
      <c r="H2993" t="str">
        <f>"00000000"</f>
        <v>00000000</v>
      </c>
      <c r="I2993" t="s">
        <v>35</v>
      </c>
      <c r="J2993"/>
      <c r="K2993">
        <v>12.02</v>
      </c>
      <c r="L2993">
        <v>3.36</v>
      </c>
      <c r="M2993"/>
      <c r="N2993"/>
      <c r="O2993">
        <v>2.16</v>
      </c>
      <c r="P2993">
        <v>0.0</v>
      </c>
      <c r="Q2993">
        <v>17.54</v>
      </c>
      <c r="R2993"/>
      <c r="S2993"/>
      <c r="T2993"/>
      <c r="U2993"/>
      <c r="V2993"/>
      <c r="W2993">
        <v>18</v>
      </c>
    </row>
    <row r="2994" spans="1:23">
      <c r="A2994"/>
      <c r="B2994" t="s">
        <v>79</v>
      </c>
      <c r="C2994" t="s">
        <v>79</v>
      </c>
      <c r="D2994" t="s">
        <v>33</v>
      </c>
      <c r="E2994" t="s">
        <v>34</v>
      </c>
      <c r="F2994" t="str">
        <f>"0003294"</f>
        <v>0003294</v>
      </c>
      <c r="G2994">
        <v>1</v>
      </c>
      <c r="H2994" t="str">
        <f>"00000000"</f>
        <v>00000000</v>
      </c>
      <c r="I2994" t="s">
        <v>35</v>
      </c>
      <c r="J2994"/>
      <c r="K2994">
        <v>0.12</v>
      </c>
      <c r="L2994">
        <v>1.17</v>
      </c>
      <c r="M2994"/>
      <c r="N2994"/>
      <c r="O2994">
        <v>0.02</v>
      </c>
      <c r="P2994">
        <v>0.0</v>
      </c>
      <c r="Q2994">
        <v>1.31</v>
      </c>
      <c r="R2994"/>
      <c r="S2994"/>
      <c r="T2994"/>
      <c r="U2994"/>
      <c r="V2994"/>
      <c r="W2994">
        <v>18</v>
      </c>
    </row>
    <row r="2995" spans="1:23">
      <c r="A2995"/>
      <c r="B2995" t="s">
        <v>79</v>
      </c>
      <c r="C2995" t="s">
        <v>79</v>
      </c>
      <c r="D2995" t="s">
        <v>33</v>
      </c>
      <c r="E2995" t="s">
        <v>34</v>
      </c>
      <c r="F2995" t="str">
        <f>"0003295"</f>
        <v>0003295</v>
      </c>
      <c r="G2995">
        <v>1</v>
      </c>
      <c r="H2995" t="str">
        <f>"00000000"</f>
        <v>00000000</v>
      </c>
      <c r="I2995" t="s">
        <v>35</v>
      </c>
      <c r="J2995"/>
      <c r="K2995">
        <v>3.14</v>
      </c>
      <c r="L2995">
        <v>0.0</v>
      </c>
      <c r="M2995"/>
      <c r="N2995"/>
      <c r="O2995">
        <v>0.56</v>
      </c>
      <c r="P2995">
        <v>0.0</v>
      </c>
      <c r="Q2995">
        <v>3.7</v>
      </c>
      <c r="R2995"/>
      <c r="S2995"/>
      <c r="T2995"/>
      <c r="U2995"/>
      <c r="V2995"/>
      <c r="W2995">
        <v>18</v>
      </c>
    </row>
    <row r="2996" spans="1:23">
      <c r="A2996"/>
      <c r="B2996" t="s">
        <v>79</v>
      </c>
      <c r="C2996" t="s">
        <v>79</v>
      </c>
      <c r="D2996" t="s">
        <v>33</v>
      </c>
      <c r="E2996" t="s">
        <v>34</v>
      </c>
      <c r="F2996" t="str">
        <f>"0003296"</f>
        <v>0003296</v>
      </c>
      <c r="G2996">
        <v>1</v>
      </c>
      <c r="H2996" t="str">
        <f>"00000000"</f>
        <v>00000000</v>
      </c>
      <c r="I2996" t="s">
        <v>35</v>
      </c>
      <c r="J2996"/>
      <c r="K2996">
        <v>12.63</v>
      </c>
      <c r="L2996">
        <v>0.0</v>
      </c>
      <c r="M2996"/>
      <c r="N2996"/>
      <c r="O2996">
        <v>2.27</v>
      </c>
      <c r="P2996">
        <v>0.0</v>
      </c>
      <c r="Q2996">
        <v>14.9</v>
      </c>
      <c r="R2996"/>
      <c r="S2996"/>
      <c r="T2996"/>
      <c r="U2996"/>
      <c r="V2996"/>
      <c r="W2996">
        <v>18</v>
      </c>
    </row>
    <row r="2997" spans="1:23">
      <c r="A2997"/>
      <c r="B2997" t="s">
        <v>79</v>
      </c>
      <c r="C2997" t="s">
        <v>79</v>
      </c>
      <c r="D2997" t="s">
        <v>33</v>
      </c>
      <c r="E2997" t="s">
        <v>34</v>
      </c>
      <c r="F2997" t="str">
        <f>"0003297"</f>
        <v>0003297</v>
      </c>
      <c r="G2997">
        <v>1</v>
      </c>
      <c r="H2997" t="str">
        <f>"00000000"</f>
        <v>00000000</v>
      </c>
      <c r="I2997" t="s">
        <v>35</v>
      </c>
      <c r="J2997"/>
      <c r="K2997">
        <v>34.96</v>
      </c>
      <c r="L2997">
        <v>1.02</v>
      </c>
      <c r="M2997"/>
      <c r="N2997"/>
      <c r="O2997">
        <v>6.29</v>
      </c>
      <c r="P2997">
        <v>0.0</v>
      </c>
      <c r="Q2997">
        <v>42.27</v>
      </c>
      <c r="R2997"/>
      <c r="S2997"/>
      <c r="T2997"/>
      <c r="U2997"/>
      <c r="V2997"/>
      <c r="W2997">
        <v>18</v>
      </c>
    </row>
    <row r="2998" spans="1:23">
      <c r="A2998"/>
      <c r="B2998" t="s">
        <v>79</v>
      </c>
      <c r="C2998" t="s">
        <v>79</v>
      </c>
      <c r="D2998" t="s">
        <v>33</v>
      </c>
      <c r="E2998" t="s">
        <v>34</v>
      </c>
      <c r="F2998" t="str">
        <f>"0003298"</f>
        <v>0003298</v>
      </c>
      <c r="G2998">
        <v>1</v>
      </c>
      <c r="H2998" t="str">
        <f>"00000000"</f>
        <v>00000000</v>
      </c>
      <c r="I2998" t="s">
        <v>35</v>
      </c>
      <c r="J2998"/>
      <c r="K2998">
        <v>0.02</v>
      </c>
      <c r="L2998">
        <v>0.0</v>
      </c>
      <c r="M2998"/>
      <c r="N2998"/>
      <c r="O2998">
        <v>0.0</v>
      </c>
      <c r="P2998">
        <v>0.2</v>
      </c>
      <c r="Q2998">
        <v>0.22</v>
      </c>
      <c r="R2998"/>
      <c r="S2998"/>
      <c r="T2998"/>
      <c r="U2998"/>
      <c r="V2998"/>
      <c r="W2998">
        <v>18</v>
      </c>
    </row>
    <row r="2999" spans="1:23">
      <c r="A2999"/>
      <c r="B2999" t="s">
        <v>79</v>
      </c>
      <c r="C2999" t="s">
        <v>79</v>
      </c>
      <c r="D2999" t="s">
        <v>33</v>
      </c>
      <c r="E2999" t="s">
        <v>34</v>
      </c>
      <c r="F2999" t="str">
        <f>"0003299"</f>
        <v>0003299</v>
      </c>
      <c r="G2999">
        <v>1</v>
      </c>
      <c r="H2999" t="str">
        <f>"00000000"</f>
        <v>00000000</v>
      </c>
      <c r="I2999" t="s">
        <v>35</v>
      </c>
      <c r="J2999"/>
      <c r="K2999">
        <v>7.63</v>
      </c>
      <c r="L2999">
        <v>0.0</v>
      </c>
      <c r="M2999"/>
      <c r="N2999"/>
      <c r="O2999">
        <v>1.37</v>
      </c>
      <c r="P2999">
        <v>0.0</v>
      </c>
      <c r="Q2999">
        <v>9.01</v>
      </c>
      <c r="R2999"/>
      <c r="S2999"/>
      <c r="T2999"/>
      <c r="U2999"/>
      <c r="V2999"/>
      <c r="W2999">
        <v>18</v>
      </c>
    </row>
    <row r="3000" spans="1:23">
      <c r="A3000"/>
      <c r="B3000" t="s">
        <v>79</v>
      </c>
      <c r="C3000" t="s">
        <v>79</v>
      </c>
      <c r="D3000" t="s">
        <v>33</v>
      </c>
      <c r="E3000" t="s">
        <v>34</v>
      </c>
      <c r="F3000" t="str">
        <f>"0003300"</f>
        <v>0003300</v>
      </c>
      <c r="G3000">
        <v>1</v>
      </c>
      <c r="H3000" t="str">
        <f>"00000000"</f>
        <v>00000000</v>
      </c>
      <c r="I3000" t="s">
        <v>35</v>
      </c>
      <c r="J3000"/>
      <c r="K3000">
        <v>0.47</v>
      </c>
      <c r="L3000">
        <v>2.87</v>
      </c>
      <c r="M3000"/>
      <c r="N3000"/>
      <c r="O3000">
        <v>0.08</v>
      </c>
      <c r="P3000">
        <v>0.0</v>
      </c>
      <c r="Q3000">
        <v>3.42</v>
      </c>
      <c r="R3000"/>
      <c r="S3000"/>
      <c r="T3000"/>
      <c r="U3000"/>
      <c r="V3000"/>
      <c r="W3000">
        <v>18</v>
      </c>
    </row>
    <row r="3001" spans="1:23">
      <c r="A3001"/>
      <c r="B3001" t="s">
        <v>79</v>
      </c>
      <c r="C3001" t="s">
        <v>79</v>
      </c>
      <c r="D3001" t="s">
        <v>33</v>
      </c>
      <c r="E3001" t="s">
        <v>34</v>
      </c>
      <c r="F3001" t="str">
        <f>"0003301"</f>
        <v>0003301</v>
      </c>
      <c r="G3001">
        <v>1</v>
      </c>
      <c r="H3001" t="str">
        <f>"00000000"</f>
        <v>00000000</v>
      </c>
      <c r="I3001" t="s">
        <v>35</v>
      </c>
      <c r="J3001"/>
      <c r="K3001">
        <v>24.42</v>
      </c>
      <c r="L3001">
        <v>0.0</v>
      </c>
      <c r="M3001"/>
      <c r="N3001"/>
      <c r="O3001">
        <v>4.4</v>
      </c>
      <c r="P3001">
        <v>0.2</v>
      </c>
      <c r="Q3001">
        <v>29.02</v>
      </c>
      <c r="R3001"/>
      <c r="S3001"/>
      <c r="T3001"/>
      <c r="U3001"/>
      <c r="V3001"/>
      <c r="W3001">
        <v>18</v>
      </c>
    </row>
    <row r="3002" spans="1:23">
      <c r="A3002"/>
      <c r="B3002" t="s">
        <v>79</v>
      </c>
      <c r="C3002" t="s">
        <v>79</v>
      </c>
      <c r="D3002" t="s">
        <v>33</v>
      </c>
      <c r="E3002" t="s">
        <v>34</v>
      </c>
      <c r="F3002" t="str">
        <f>"0003302"</f>
        <v>0003302</v>
      </c>
      <c r="G3002">
        <v>1</v>
      </c>
      <c r="H3002" t="str">
        <f>"00000000"</f>
        <v>00000000</v>
      </c>
      <c r="I3002" t="s">
        <v>35</v>
      </c>
      <c r="J3002"/>
      <c r="K3002">
        <v>8.64</v>
      </c>
      <c r="L3002">
        <v>0.0</v>
      </c>
      <c r="M3002"/>
      <c r="N3002"/>
      <c r="O3002">
        <v>1.56</v>
      </c>
      <c r="P3002">
        <v>0.0</v>
      </c>
      <c r="Q3002">
        <v>10.2</v>
      </c>
      <c r="R3002"/>
      <c r="S3002"/>
      <c r="T3002"/>
      <c r="U3002"/>
      <c r="V3002"/>
      <c r="W3002">
        <v>18</v>
      </c>
    </row>
    <row r="3003" spans="1:23">
      <c r="A3003"/>
      <c r="B3003" t="s">
        <v>79</v>
      </c>
      <c r="C3003" t="s">
        <v>79</v>
      </c>
      <c r="D3003" t="s">
        <v>33</v>
      </c>
      <c r="E3003" t="s">
        <v>34</v>
      </c>
      <c r="F3003" t="str">
        <f>"0003303"</f>
        <v>0003303</v>
      </c>
      <c r="G3003">
        <v>1</v>
      </c>
      <c r="H3003" t="str">
        <f>"00000000"</f>
        <v>00000000</v>
      </c>
      <c r="I3003" t="s">
        <v>35</v>
      </c>
      <c r="J3003"/>
      <c r="K3003">
        <v>0.02</v>
      </c>
      <c r="L3003">
        <v>0.0</v>
      </c>
      <c r="M3003"/>
      <c r="N3003"/>
      <c r="O3003">
        <v>0.0</v>
      </c>
      <c r="P3003">
        <v>0.2</v>
      </c>
      <c r="Q3003">
        <v>0.22</v>
      </c>
      <c r="R3003"/>
      <c r="S3003"/>
      <c r="T3003"/>
      <c r="U3003"/>
      <c r="V3003"/>
      <c r="W3003">
        <v>18</v>
      </c>
    </row>
    <row r="3004" spans="1:23">
      <c r="A3004"/>
      <c r="B3004" t="s">
        <v>79</v>
      </c>
      <c r="C3004" t="s">
        <v>79</v>
      </c>
      <c r="D3004" t="s">
        <v>33</v>
      </c>
      <c r="E3004" t="s">
        <v>34</v>
      </c>
      <c r="F3004" t="str">
        <f>"0003304"</f>
        <v>0003304</v>
      </c>
      <c r="G3004">
        <v>1</v>
      </c>
      <c r="H3004" t="str">
        <f>"00000000"</f>
        <v>00000000</v>
      </c>
      <c r="I3004" t="s">
        <v>35</v>
      </c>
      <c r="J3004"/>
      <c r="K3004">
        <v>9.32</v>
      </c>
      <c r="L3004">
        <v>7.27</v>
      </c>
      <c r="M3004"/>
      <c r="N3004"/>
      <c r="O3004">
        <v>1.68</v>
      </c>
      <c r="P3004">
        <v>0.0</v>
      </c>
      <c r="Q3004">
        <v>18.27</v>
      </c>
      <c r="R3004"/>
      <c r="S3004"/>
      <c r="T3004"/>
      <c r="U3004"/>
      <c r="V3004"/>
      <c r="W3004">
        <v>18</v>
      </c>
    </row>
    <row r="3005" spans="1:23">
      <c r="A3005"/>
      <c r="B3005" t="s">
        <v>79</v>
      </c>
      <c r="C3005" t="s">
        <v>79</v>
      </c>
      <c r="D3005" t="s">
        <v>33</v>
      </c>
      <c r="E3005" t="s">
        <v>34</v>
      </c>
      <c r="F3005" t="str">
        <f>"0003305"</f>
        <v>0003305</v>
      </c>
      <c r="G3005">
        <v>1</v>
      </c>
      <c r="H3005" t="str">
        <f>"00000000"</f>
        <v>00000000</v>
      </c>
      <c r="I3005" t="s">
        <v>35</v>
      </c>
      <c r="J3005"/>
      <c r="K3005">
        <v>24.93</v>
      </c>
      <c r="L3005">
        <v>2.48</v>
      </c>
      <c r="M3005"/>
      <c r="N3005"/>
      <c r="O3005">
        <v>4.49</v>
      </c>
      <c r="P3005">
        <v>0.2</v>
      </c>
      <c r="Q3005">
        <v>32.1</v>
      </c>
      <c r="R3005"/>
      <c r="S3005"/>
      <c r="T3005"/>
      <c r="U3005"/>
      <c r="V3005"/>
      <c r="W3005">
        <v>18</v>
      </c>
    </row>
    <row r="3006" spans="1:23">
      <c r="A3006"/>
      <c r="B3006" t="s">
        <v>79</v>
      </c>
      <c r="C3006" t="s">
        <v>79</v>
      </c>
      <c r="D3006" t="s">
        <v>33</v>
      </c>
      <c r="E3006" t="s">
        <v>34</v>
      </c>
      <c r="F3006" t="str">
        <f>"0003306"</f>
        <v>0003306</v>
      </c>
      <c r="G3006">
        <v>1</v>
      </c>
      <c r="H3006" t="str">
        <f>"00000000"</f>
        <v>00000000</v>
      </c>
      <c r="I3006" t="s">
        <v>35</v>
      </c>
      <c r="J3006"/>
      <c r="K3006">
        <v>7.08</v>
      </c>
      <c r="L3006">
        <v>3.14</v>
      </c>
      <c r="M3006"/>
      <c r="N3006"/>
      <c r="O3006">
        <v>1.27</v>
      </c>
      <c r="P3006">
        <v>0.0</v>
      </c>
      <c r="Q3006">
        <v>11.49</v>
      </c>
      <c r="R3006"/>
      <c r="S3006"/>
      <c r="T3006"/>
      <c r="U3006"/>
      <c r="V3006"/>
      <c r="W3006">
        <v>18</v>
      </c>
    </row>
    <row r="3007" spans="1:23">
      <c r="A3007"/>
      <c r="B3007" t="s">
        <v>79</v>
      </c>
      <c r="C3007" t="s">
        <v>79</v>
      </c>
      <c r="D3007" t="s">
        <v>33</v>
      </c>
      <c r="E3007" t="s">
        <v>34</v>
      </c>
      <c r="F3007" t="str">
        <f>"0003307"</f>
        <v>0003307</v>
      </c>
      <c r="G3007">
        <v>1</v>
      </c>
      <c r="H3007" t="str">
        <f>"00000000"</f>
        <v>00000000</v>
      </c>
      <c r="I3007" t="s">
        <v>35</v>
      </c>
      <c r="J3007"/>
      <c r="K3007">
        <v>0.0</v>
      </c>
      <c r="L3007">
        <v>3.0</v>
      </c>
      <c r="M3007"/>
      <c r="N3007"/>
      <c r="O3007">
        <v>0.0</v>
      </c>
      <c r="P3007">
        <v>0.0</v>
      </c>
      <c r="Q3007">
        <v>3.0</v>
      </c>
      <c r="R3007"/>
      <c r="S3007"/>
      <c r="T3007"/>
      <c r="U3007"/>
      <c r="V3007"/>
      <c r="W3007">
        <v>18</v>
      </c>
    </row>
    <row r="3008" spans="1:23">
      <c r="A3008"/>
      <c r="B3008" t="s">
        <v>79</v>
      </c>
      <c r="C3008" t="s">
        <v>79</v>
      </c>
      <c r="D3008" t="s">
        <v>33</v>
      </c>
      <c r="E3008" t="s">
        <v>34</v>
      </c>
      <c r="F3008" t="str">
        <f>"0003308"</f>
        <v>0003308</v>
      </c>
      <c r="G3008">
        <v>1</v>
      </c>
      <c r="H3008" t="str">
        <f>"00000000"</f>
        <v>00000000</v>
      </c>
      <c r="I3008" t="s">
        <v>35</v>
      </c>
      <c r="J3008"/>
      <c r="K3008">
        <v>11.29</v>
      </c>
      <c r="L3008">
        <v>0.0</v>
      </c>
      <c r="M3008"/>
      <c r="N3008"/>
      <c r="O3008">
        <v>2.03</v>
      </c>
      <c r="P3008">
        <v>0.2</v>
      </c>
      <c r="Q3008">
        <v>13.52</v>
      </c>
      <c r="R3008"/>
      <c r="S3008"/>
      <c r="T3008"/>
      <c r="U3008"/>
      <c r="V3008"/>
      <c r="W3008">
        <v>18</v>
      </c>
    </row>
    <row r="3009" spans="1:23">
      <c r="A3009"/>
      <c r="B3009" t="s">
        <v>79</v>
      </c>
      <c r="C3009" t="s">
        <v>79</v>
      </c>
      <c r="D3009" t="s">
        <v>33</v>
      </c>
      <c r="E3009" t="s">
        <v>34</v>
      </c>
      <c r="F3009" t="str">
        <f>"0003309"</f>
        <v>0003309</v>
      </c>
      <c r="G3009">
        <v>1</v>
      </c>
      <c r="H3009" t="str">
        <f>"00000000"</f>
        <v>00000000</v>
      </c>
      <c r="I3009" t="s">
        <v>35</v>
      </c>
      <c r="J3009"/>
      <c r="K3009">
        <v>30.44</v>
      </c>
      <c r="L3009">
        <v>0.0</v>
      </c>
      <c r="M3009"/>
      <c r="N3009"/>
      <c r="O3009">
        <v>5.48</v>
      </c>
      <c r="P3009">
        <v>0.2</v>
      </c>
      <c r="Q3009">
        <v>36.12</v>
      </c>
      <c r="R3009"/>
      <c r="S3009"/>
      <c r="T3009"/>
      <c r="U3009"/>
      <c r="V3009"/>
      <c r="W3009">
        <v>18</v>
      </c>
    </row>
    <row r="3010" spans="1:23">
      <c r="A3010"/>
      <c r="B3010" t="s">
        <v>79</v>
      </c>
      <c r="C3010" t="s">
        <v>79</v>
      </c>
      <c r="D3010" t="s">
        <v>33</v>
      </c>
      <c r="E3010" t="s">
        <v>34</v>
      </c>
      <c r="F3010" t="str">
        <f>"0003310"</f>
        <v>0003310</v>
      </c>
      <c r="G3010">
        <v>1</v>
      </c>
      <c r="H3010" t="str">
        <f>"00000000"</f>
        <v>00000000</v>
      </c>
      <c r="I3010" t="s">
        <v>35</v>
      </c>
      <c r="J3010"/>
      <c r="K3010">
        <v>1.02</v>
      </c>
      <c r="L3010">
        <v>0.0</v>
      </c>
      <c r="M3010"/>
      <c r="N3010"/>
      <c r="O3010">
        <v>0.18</v>
      </c>
      <c r="P3010">
        <v>0.0</v>
      </c>
      <c r="Q3010">
        <v>1.2</v>
      </c>
      <c r="R3010"/>
      <c r="S3010"/>
      <c r="T3010"/>
      <c r="U3010"/>
      <c r="V3010"/>
      <c r="W3010">
        <v>18</v>
      </c>
    </row>
    <row r="3011" spans="1:23">
      <c r="A3011"/>
      <c r="B3011" t="s">
        <v>79</v>
      </c>
      <c r="C3011" t="s">
        <v>79</v>
      </c>
      <c r="D3011" t="s">
        <v>33</v>
      </c>
      <c r="E3011" t="s">
        <v>34</v>
      </c>
      <c r="F3011" t="str">
        <f>"0003311"</f>
        <v>0003311</v>
      </c>
      <c r="G3011">
        <v>1</v>
      </c>
      <c r="H3011" t="str">
        <f>"00000000"</f>
        <v>00000000</v>
      </c>
      <c r="I3011" t="s">
        <v>35</v>
      </c>
      <c r="J3011"/>
      <c r="K3011">
        <v>0.0</v>
      </c>
      <c r="L3011">
        <v>4.32</v>
      </c>
      <c r="M3011"/>
      <c r="N3011"/>
      <c r="O3011">
        <v>0.0</v>
      </c>
      <c r="P3011">
        <v>0.0</v>
      </c>
      <c r="Q3011">
        <v>4.32</v>
      </c>
      <c r="R3011"/>
      <c r="S3011"/>
      <c r="T3011"/>
      <c r="U3011"/>
      <c r="V3011"/>
      <c r="W3011">
        <v>18</v>
      </c>
    </row>
    <row r="3012" spans="1:23">
      <c r="A3012"/>
      <c r="B3012" t="s">
        <v>79</v>
      </c>
      <c r="C3012" t="s">
        <v>79</v>
      </c>
      <c r="D3012" t="s">
        <v>33</v>
      </c>
      <c r="E3012" t="s">
        <v>34</v>
      </c>
      <c r="F3012" t="str">
        <f>"0003312"</f>
        <v>0003312</v>
      </c>
      <c r="G3012">
        <v>1</v>
      </c>
      <c r="H3012" t="str">
        <f>"00000000"</f>
        <v>00000000</v>
      </c>
      <c r="I3012" t="s">
        <v>35</v>
      </c>
      <c r="J3012"/>
      <c r="K3012">
        <v>4.41</v>
      </c>
      <c r="L3012">
        <v>0.0</v>
      </c>
      <c r="M3012"/>
      <c r="N3012"/>
      <c r="O3012">
        <v>0.79</v>
      </c>
      <c r="P3012">
        <v>0.0</v>
      </c>
      <c r="Q3012">
        <v>5.2</v>
      </c>
      <c r="R3012"/>
      <c r="S3012"/>
      <c r="T3012"/>
      <c r="U3012"/>
      <c r="V3012"/>
      <c r="W3012">
        <v>18</v>
      </c>
    </row>
    <row r="3013" spans="1:23">
      <c r="A3013"/>
      <c r="B3013" t="s">
        <v>79</v>
      </c>
      <c r="C3013" t="s">
        <v>79</v>
      </c>
      <c r="D3013" t="s">
        <v>33</v>
      </c>
      <c r="E3013" t="s">
        <v>34</v>
      </c>
      <c r="F3013" t="str">
        <f>"0003313"</f>
        <v>0003313</v>
      </c>
      <c r="G3013">
        <v>1</v>
      </c>
      <c r="H3013" t="str">
        <f>"00000000"</f>
        <v>00000000</v>
      </c>
      <c r="I3013" t="s">
        <v>35</v>
      </c>
      <c r="J3013"/>
      <c r="K3013">
        <v>15.0</v>
      </c>
      <c r="L3013">
        <v>0.0</v>
      </c>
      <c r="M3013"/>
      <c r="N3013"/>
      <c r="O3013">
        <v>2.7</v>
      </c>
      <c r="P3013">
        <v>0.0</v>
      </c>
      <c r="Q3013">
        <v>17.7</v>
      </c>
      <c r="R3013"/>
      <c r="S3013"/>
      <c r="T3013"/>
      <c r="U3013"/>
      <c r="V3013"/>
      <c r="W3013">
        <v>18</v>
      </c>
    </row>
    <row r="3014" spans="1:23">
      <c r="A3014"/>
      <c r="B3014" t="s">
        <v>79</v>
      </c>
      <c r="C3014" t="s">
        <v>79</v>
      </c>
      <c r="D3014" t="s">
        <v>33</v>
      </c>
      <c r="E3014" t="s">
        <v>34</v>
      </c>
      <c r="F3014" t="str">
        <f>"0003314"</f>
        <v>0003314</v>
      </c>
      <c r="G3014">
        <v>1</v>
      </c>
      <c r="H3014" t="str">
        <f>"00000000"</f>
        <v>00000000</v>
      </c>
      <c r="I3014" t="s">
        <v>35</v>
      </c>
      <c r="J3014"/>
      <c r="K3014">
        <v>7.12</v>
      </c>
      <c r="L3014">
        <v>2.9</v>
      </c>
      <c r="M3014"/>
      <c r="N3014"/>
      <c r="O3014">
        <v>1.28</v>
      </c>
      <c r="P3014">
        <v>0.0</v>
      </c>
      <c r="Q3014">
        <v>11.3</v>
      </c>
      <c r="R3014"/>
      <c r="S3014"/>
      <c r="T3014"/>
      <c r="U3014"/>
      <c r="V3014"/>
      <c r="W3014">
        <v>18</v>
      </c>
    </row>
    <row r="3015" spans="1:23">
      <c r="A3015"/>
      <c r="B3015" t="s">
        <v>79</v>
      </c>
      <c r="C3015" t="s">
        <v>79</v>
      </c>
      <c r="D3015" t="s">
        <v>33</v>
      </c>
      <c r="E3015" t="s">
        <v>34</v>
      </c>
      <c r="F3015" t="str">
        <f>"0003315"</f>
        <v>0003315</v>
      </c>
      <c r="G3015">
        <v>1</v>
      </c>
      <c r="H3015" t="str">
        <f>"00000000"</f>
        <v>00000000</v>
      </c>
      <c r="I3015" t="s">
        <v>35</v>
      </c>
      <c r="J3015"/>
      <c r="K3015">
        <v>4.15</v>
      </c>
      <c r="L3015">
        <v>0.0</v>
      </c>
      <c r="M3015"/>
      <c r="N3015"/>
      <c r="O3015">
        <v>0.75</v>
      </c>
      <c r="P3015">
        <v>0.0</v>
      </c>
      <c r="Q3015">
        <v>4.9</v>
      </c>
      <c r="R3015"/>
      <c r="S3015"/>
      <c r="T3015"/>
      <c r="U3015"/>
      <c r="V3015"/>
      <c r="W3015">
        <v>18</v>
      </c>
    </row>
    <row r="3016" spans="1:23">
      <c r="A3016"/>
      <c r="B3016" t="s">
        <v>79</v>
      </c>
      <c r="C3016" t="s">
        <v>79</v>
      </c>
      <c r="D3016" t="s">
        <v>33</v>
      </c>
      <c r="E3016" t="s">
        <v>34</v>
      </c>
      <c r="F3016" t="str">
        <f>"0003316"</f>
        <v>0003316</v>
      </c>
      <c r="G3016">
        <v>1</v>
      </c>
      <c r="H3016" t="str">
        <f>"00000000"</f>
        <v>00000000</v>
      </c>
      <c r="I3016" t="s">
        <v>35</v>
      </c>
      <c r="J3016"/>
      <c r="K3016">
        <v>3.62</v>
      </c>
      <c r="L3016">
        <v>0.0</v>
      </c>
      <c r="M3016"/>
      <c r="N3016"/>
      <c r="O3016">
        <v>0.65</v>
      </c>
      <c r="P3016">
        <v>0.0</v>
      </c>
      <c r="Q3016">
        <v>4.27</v>
      </c>
      <c r="R3016"/>
      <c r="S3016"/>
      <c r="T3016"/>
      <c r="U3016"/>
      <c r="V3016"/>
      <c r="W3016">
        <v>18</v>
      </c>
    </row>
    <row r="3017" spans="1:23">
      <c r="A3017"/>
      <c r="B3017" t="s">
        <v>79</v>
      </c>
      <c r="C3017" t="s">
        <v>79</v>
      </c>
      <c r="D3017" t="s">
        <v>33</v>
      </c>
      <c r="E3017" t="s">
        <v>34</v>
      </c>
      <c r="F3017" t="str">
        <f>"0003317"</f>
        <v>0003317</v>
      </c>
      <c r="G3017">
        <v>1</v>
      </c>
      <c r="H3017" t="str">
        <f>"00000000"</f>
        <v>00000000</v>
      </c>
      <c r="I3017" t="s">
        <v>35</v>
      </c>
      <c r="J3017"/>
      <c r="K3017">
        <v>0.0</v>
      </c>
      <c r="L3017">
        <v>4.42</v>
      </c>
      <c r="M3017"/>
      <c r="N3017"/>
      <c r="O3017">
        <v>0.0</v>
      </c>
      <c r="P3017">
        <v>0.0</v>
      </c>
      <c r="Q3017">
        <v>4.42</v>
      </c>
      <c r="R3017"/>
      <c r="S3017"/>
      <c r="T3017"/>
      <c r="U3017"/>
      <c r="V3017"/>
      <c r="W3017">
        <v>18</v>
      </c>
    </row>
    <row r="3018" spans="1:23">
      <c r="A3018"/>
      <c r="B3018" t="s">
        <v>79</v>
      </c>
      <c r="C3018" t="s">
        <v>79</v>
      </c>
      <c r="D3018" t="s">
        <v>33</v>
      </c>
      <c r="E3018" t="s">
        <v>34</v>
      </c>
      <c r="F3018" t="str">
        <f>"0003318"</f>
        <v>0003318</v>
      </c>
      <c r="G3018">
        <v>1</v>
      </c>
      <c r="H3018" t="str">
        <f>"00000000"</f>
        <v>00000000</v>
      </c>
      <c r="I3018" t="s">
        <v>35</v>
      </c>
      <c r="J3018"/>
      <c r="K3018">
        <v>18.49</v>
      </c>
      <c r="L3018">
        <v>0.0</v>
      </c>
      <c r="M3018"/>
      <c r="N3018"/>
      <c r="O3018">
        <v>3.33</v>
      </c>
      <c r="P3018">
        <v>0.2</v>
      </c>
      <c r="Q3018">
        <v>22.02</v>
      </c>
      <c r="R3018"/>
      <c r="S3018"/>
      <c r="T3018"/>
      <c r="U3018"/>
      <c r="V3018"/>
      <c r="W3018">
        <v>18</v>
      </c>
    </row>
    <row r="3019" spans="1:23">
      <c r="A3019"/>
      <c r="B3019" t="s">
        <v>79</v>
      </c>
      <c r="C3019" t="s">
        <v>79</v>
      </c>
      <c r="D3019" t="s">
        <v>33</v>
      </c>
      <c r="E3019" t="s">
        <v>34</v>
      </c>
      <c r="F3019" t="str">
        <f>"0003319"</f>
        <v>0003319</v>
      </c>
      <c r="G3019">
        <v>1</v>
      </c>
      <c r="H3019" t="str">
        <f>"00000000"</f>
        <v>00000000</v>
      </c>
      <c r="I3019" t="s">
        <v>35</v>
      </c>
      <c r="J3019"/>
      <c r="K3019">
        <v>21.46</v>
      </c>
      <c r="L3019">
        <v>0.0</v>
      </c>
      <c r="M3019"/>
      <c r="N3019"/>
      <c r="O3019">
        <v>3.86</v>
      </c>
      <c r="P3019">
        <v>0.2</v>
      </c>
      <c r="Q3019">
        <v>25.52</v>
      </c>
      <c r="R3019"/>
      <c r="S3019"/>
      <c r="T3019"/>
      <c r="U3019"/>
      <c r="V3019"/>
      <c r="W3019">
        <v>18</v>
      </c>
    </row>
    <row r="3020" spans="1:23">
      <c r="A3020"/>
      <c r="B3020" t="s">
        <v>79</v>
      </c>
      <c r="C3020" t="s">
        <v>79</v>
      </c>
      <c r="D3020" t="s">
        <v>33</v>
      </c>
      <c r="E3020" t="s">
        <v>34</v>
      </c>
      <c r="F3020" t="str">
        <f>"0003320"</f>
        <v>0003320</v>
      </c>
      <c r="G3020">
        <v>1</v>
      </c>
      <c r="H3020" t="str">
        <f>"00000000"</f>
        <v>00000000</v>
      </c>
      <c r="I3020" t="s">
        <v>35</v>
      </c>
      <c r="J3020"/>
      <c r="K3020">
        <v>43.41</v>
      </c>
      <c r="L3020">
        <v>0.0</v>
      </c>
      <c r="M3020"/>
      <c r="N3020"/>
      <c r="O3020">
        <v>7.81</v>
      </c>
      <c r="P3020">
        <v>0.2</v>
      </c>
      <c r="Q3020">
        <v>51.42</v>
      </c>
      <c r="R3020"/>
      <c r="S3020"/>
      <c r="T3020"/>
      <c r="U3020"/>
      <c r="V3020"/>
      <c r="W3020">
        <v>18</v>
      </c>
    </row>
    <row r="3021" spans="1:23">
      <c r="A3021"/>
      <c r="B3021" t="s">
        <v>79</v>
      </c>
      <c r="C3021" t="s">
        <v>79</v>
      </c>
      <c r="D3021" t="s">
        <v>33</v>
      </c>
      <c r="E3021" t="s">
        <v>34</v>
      </c>
      <c r="F3021" t="str">
        <f>"0003321"</f>
        <v>0003321</v>
      </c>
      <c r="G3021">
        <v>1</v>
      </c>
      <c r="H3021" t="str">
        <f>"00000000"</f>
        <v>00000000</v>
      </c>
      <c r="I3021" t="s">
        <v>35</v>
      </c>
      <c r="J3021"/>
      <c r="K3021">
        <v>1.61</v>
      </c>
      <c r="L3021">
        <v>0.0</v>
      </c>
      <c r="M3021"/>
      <c r="N3021"/>
      <c r="O3021">
        <v>0.29</v>
      </c>
      <c r="P3021">
        <v>0.0</v>
      </c>
      <c r="Q3021">
        <v>1.9</v>
      </c>
      <c r="R3021"/>
      <c r="S3021"/>
      <c r="T3021"/>
      <c r="U3021"/>
      <c r="V3021"/>
      <c r="W3021">
        <v>18</v>
      </c>
    </row>
    <row r="3022" spans="1:23">
      <c r="A3022"/>
      <c r="B3022" t="s">
        <v>79</v>
      </c>
      <c r="C3022" t="s">
        <v>79</v>
      </c>
      <c r="D3022" t="s">
        <v>33</v>
      </c>
      <c r="E3022" t="s">
        <v>34</v>
      </c>
      <c r="F3022" t="str">
        <f>"0003322"</f>
        <v>0003322</v>
      </c>
      <c r="G3022">
        <v>1</v>
      </c>
      <c r="H3022" t="str">
        <f>"00000000"</f>
        <v>00000000</v>
      </c>
      <c r="I3022" t="s">
        <v>35</v>
      </c>
      <c r="J3022"/>
      <c r="K3022">
        <v>5.39</v>
      </c>
      <c r="L3022">
        <v>2.92</v>
      </c>
      <c r="M3022"/>
      <c r="N3022"/>
      <c r="O3022">
        <v>0.97</v>
      </c>
      <c r="P3022">
        <v>0.0</v>
      </c>
      <c r="Q3022">
        <v>9.28</v>
      </c>
      <c r="R3022"/>
      <c r="S3022"/>
      <c r="T3022"/>
      <c r="U3022"/>
      <c r="V3022"/>
      <c r="W3022">
        <v>18</v>
      </c>
    </row>
    <row r="3023" spans="1:23">
      <c r="A3023"/>
      <c r="B3023" t="s">
        <v>79</v>
      </c>
      <c r="C3023" t="s">
        <v>79</v>
      </c>
      <c r="D3023" t="s">
        <v>33</v>
      </c>
      <c r="E3023" t="s">
        <v>34</v>
      </c>
      <c r="F3023" t="str">
        <f>"0003323"</f>
        <v>0003323</v>
      </c>
      <c r="G3023">
        <v>1</v>
      </c>
      <c r="H3023" t="str">
        <f>"00000000"</f>
        <v>00000000</v>
      </c>
      <c r="I3023" t="s">
        <v>35</v>
      </c>
      <c r="J3023"/>
      <c r="K3023">
        <v>0.53</v>
      </c>
      <c r="L3023">
        <v>1.92</v>
      </c>
      <c r="M3023"/>
      <c r="N3023"/>
      <c r="O3023">
        <v>0.09</v>
      </c>
      <c r="P3023">
        <v>0.0</v>
      </c>
      <c r="Q3023">
        <v>2.54</v>
      </c>
      <c r="R3023"/>
      <c r="S3023"/>
      <c r="T3023"/>
      <c r="U3023"/>
      <c r="V3023"/>
      <c r="W3023">
        <v>18</v>
      </c>
    </row>
    <row r="3024" spans="1:23">
      <c r="A3024"/>
      <c r="B3024" t="s">
        <v>79</v>
      </c>
      <c r="C3024" t="s">
        <v>79</v>
      </c>
      <c r="D3024" t="s">
        <v>33</v>
      </c>
      <c r="E3024" t="s">
        <v>34</v>
      </c>
      <c r="F3024" t="str">
        <f>"0003324"</f>
        <v>0003324</v>
      </c>
      <c r="G3024">
        <v>1</v>
      </c>
      <c r="H3024" t="str">
        <f>"00000000"</f>
        <v>00000000</v>
      </c>
      <c r="I3024" t="s">
        <v>35</v>
      </c>
      <c r="J3024"/>
      <c r="K3024">
        <v>2.97</v>
      </c>
      <c r="L3024">
        <v>0.0</v>
      </c>
      <c r="M3024"/>
      <c r="N3024"/>
      <c r="O3024">
        <v>0.53</v>
      </c>
      <c r="P3024">
        <v>0.0</v>
      </c>
      <c r="Q3024">
        <v>3.5</v>
      </c>
      <c r="R3024"/>
      <c r="S3024"/>
      <c r="T3024"/>
      <c r="U3024"/>
      <c r="V3024"/>
      <c r="W3024">
        <v>18</v>
      </c>
    </row>
    <row r="3025" spans="1:23">
      <c r="A3025"/>
      <c r="B3025" t="s">
        <v>79</v>
      </c>
      <c r="C3025" t="s">
        <v>79</v>
      </c>
      <c r="D3025" t="s">
        <v>33</v>
      </c>
      <c r="E3025" t="s">
        <v>34</v>
      </c>
      <c r="F3025" t="str">
        <f>"0003325"</f>
        <v>0003325</v>
      </c>
      <c r="G3025">
        <v>1</v>
      </c>
      <c r="H3025" t="str">
        <f>"00000000"</f>
        <v>00000000</v>
      </c>
      <c r="I3025" t="s">
        <v>35</v>
      </c>
      <c r="J3025"/>
      <c r="K3025">
        <v>2.37</v>
      </c>
      <c r="L3025">
        <v>0.0</v>
      </c>
      <c r="M3025"/>
      <c r="N3025"/>
      <c r="O3025">
        <v>0.43</v>
      </c>
      <c r="P3025">
        <v>0.0</v>
      </c>
      <c r="Q3025">
        <v>2.8</v>
      </c>
      <c r="R3025"/>
      <c r="S3025"/>
      <c r="T3025"/>
      <c r="U3025"/>
      <c r="V3025"/>
      <c r="W3025">
        <v>18</v>
      </c>
    </row>
    <row r="3026" spans="1:23">
      <c r="A3026"/>
      <c r="B3026" t="s">
        <v>79</v>
      </c>
      <c r="C3026" t="s">
        <v>79</v>
      </c>
      <c r="D3026" t="s">
        <v>33</v>
      </c>
      <c r="E3026" t="s">
        <v>34</v>
      </c>
      <c r="F3026" t="str">
        <f>"0003326"</f>
        <v>0003326</v>
      </c>
      <c r="G3026">
        <v>1</v>
      </c>
      <c r="H3026" t="str">
        <f>"00000000"</f>
        <v>00000000</v>
      </c>
      <c r="I3026" t="s">
        <v>35</v>
      </c>
      <c r="J3026"/>
      <c r="K3026">
        <v>21.74</v>
      </c>
      <c r="L3026">
        <v>11.0</v>
      </c>
      <c r="M3026"/>
      <c r="N3026"/>
      <c r="O3026">
        <v>3.91</v>
      </c>
      <c r="P3026">
        <v>0.2</v>
      </c>
      <c r="Q3026">
        <v>36.86</v>
      </c>
      <c r="R3026"/>
      <c r="S3026"/>
      <c r="T3026"/>
      <c r="U3026"/>
      <c r="V3026"/>
      <c r="W3026">
        <v>18</v>
      </c>
    </row>
    <row r="3027" spans="1:23">
      <c r="A3027"/>
      <c r="B3027" t="s">
        <v>79</v>
      </c>
      <c r="C3027" t="s">
        <v>79</v>
      </c>
      <c r="D3027" t="s">
        <v>33</v>
      </c>
      <c r="E3027" t="s">
        <v>34</v>
      </c>
      <c r="F3027" t="str">
        <f>"0003327"</f>
        <v>0003327</v>
      </c>
      <c r="G3027">
        <v>1</v>
      </c>
      <c r="H3027" t="str">
        <f>"00000000"</f>
        <v>00000000</v>
      </c>
      <c r="I3027" t="s">
        <v>35</v>
      </c>
      <c r="J3027"/>
      <c r="K3027">
        <v>7.47</v>
      </c>
      <c r="L3027">
        <v>7.23</v>
      </c>
      <c r="M3027"/>
      <c r="N3027"/>
      <c r="O3027">
        <v>1.35</v>
      </c>
      <c r="P3027">
        <v>0.2</v>
      </c>
      <c r="Q3027">
        <v>16.25</v>
      </c>
      <c r="R3027"/>
      <c r="S3027"/>
      <c r="T3027"/>
      <c r="U3027"/>
      <c r="V3027"/>
      <c r="W3027">
        <v>18</v>
      </c>
    </row>
    <row r="3028" spans="1:23">
      <c r="A3028"/>
      <c r="B3028" t="s">
        <v>79</v>
      </c>
      <c r="C3028" t="s">
        <v>79</v>
      </c>
      <c r="D3028" t="s">
        <v>33</v>
      </c>
      <c r="E3028" t="s">
        <v>34</v>
      </c>
      <c r="F3028" t="str">
        <f>"0003328"</f>
        <v>0003328</v>
      </c>
      <c r="G3028">
        <v>1</v>
      </c>
      <c r="H3028" t="str">
        <f>"00000000"</f>
        <v>00000000</v>
      </c>
      <c r="I3028" t="s">
        <v>35</v>
      </c>
      <c r="J3028"/>
      <c r="K3028">
        <v>2.12</v>
      </c>
      <c r="L3028">
        <v>0.0</v>
      </c>
      <c r="M3028"/>
      <c r="N3028"/>
      <c r="O3028">
        <v>0.38</v>
      </c>
      <c r="P3028">
        <v>0.0</v>
      </c>
      <c r="Q3028">
        <v>2.5</v>
      </c>
      <c r="R3028"/>
      <c r="S3028"/>
      <c r="T3028"/>
      <c r="U3028"/>
      <c r="V3028"/>
      <c r="W3028">
        <v>18</v>
      </c>
    </row>
    <row r="3029" spans="1:23">
      <c r="A3029"/>
      <c r="B3029" t="s">
        <v>79</v>
      </c>
      <c r="C3029" t="s">
        <v>79</v>
      </c>
      <c r="D3029" t="s">
        <v>33</v>
      </c>
      <c r="E3029" t="s">
        <v>34</v>
      </c>
      <c r="F3029" t="str">
        <f>"0003329"</f>
        <v>0003329</v>
      </c>
      <c r="G3029">
        <v>1</v>
      </c>
      <c r="H3029" t="str">
        <f>"00000000"</f>
        <v>00000000</v>
      </c>
      <c r="I3029" t="s">
        <v>35</v>
      </c>
      <c r="J3029"/>
      <c r="K3029">
        <v>4.17</v>
      </c>
      <c r="L3029">
        <v>0.0</v>
      </c>
      <c r="M3029"/>
      <c r="N3029"/>
      <c r="O3029">
        <v>0.75</v>
      </c>
      <c r="P3029">
        <v>0.2</v>
      </c>
      <c r="Q3029">
        <v>5.12</v>
      </c>
      <c r="R3029"/>
      <c r="S3029"/>
      <c r="T3029"/>
      <c r="U3029"/>
      <c r="V3029"/>
      <c r="W3029">
        <v>18</v>
      </c>
    </row>
    <row r="3030" spans="1:23">
      <c r="A3030"/>
      <c r="B3030" t="s">
        <v>79</v>
      </c>
      <c r="C3030" t="s">
        <v>79</v>
      </c>
      <c r="D3030" t="s">
        <v>33</v>
      </c>
      <c r="E3030" t="s">
        <v>34</v>
      </c>
      <c r="F3030" t="str">
        <f>"0003330"</f>
        <v>0003330</v>
      </c>
      <c r="G3030">
        <v>1</v>
      </c>
      <c r="H3030" t="str">
        <f>"00000000"</f>
        <v>00000000</v>
      </c>
      <c r="I3030" t="s">
        <v>35</v>
      </c>
      <c r="J3030"/>
      <c r="K3030">
        <v>0.0</v>
      </c>
      <c r="L3030">
        <v>1.88</v>
      </c>
      <c r="M3030"/>
      <c r="N3030"/>
      <c r="O3030">
        <v>0.0</v>
      </c>
      <c r="P3030">
        <v>0.0</v>
      </c>
      <c r="Q3030">
        <v>1.88</v>
      </c>
      <c r="R3030"/>
      <c r="S3030"/>
      <c r="T3030"/>
      <c r="U3030"/>
      <c r="V3030"/>
      <c r="W3030">
        <v>18</v>
      </c>
    </row>
    <row r="3031" spans="1:23">
      <c r="A3031"/>
      <c r="B3031" t="s">
        <v>79</v>
      </c>
      <c r="C3031" t="s">
        <v>79</v>
      </c>
      <c r="D3031" t="s">
        <v>33</v>
      </c>
      <c r="E3031" t="s">
        <v>34</v>
      </c>
      <c r="F3031" t="str">
        <f>"0003331"</f>
        <v>0003331</v>
      </c>
      <c r="G3031">
        <v>1</v>
      </c>
      <c r="H3031" t="str">
        <f>"00000000"</f>
        <v>00000000</v>
      </c>
      <c r="I3031" t="s">
        <v>35</v>
      </c>
      <c r="J3031"/>
      <c r="K3031">
        <v>3.31</v>
      </c>
      <c r="L3031">
        <v>0.0</v>
      </c>
      <c r="M3031"/>
      <c r="N3031"/>
      <c r="O3031">
        <v>0.59</v>
      </c>
      <c r="P3031">
        <v>0.0</v>
      </c>
      <c r="Q3031">
        <v>3.9</v>
      </c>
      <c r="R3031"/>
      <c r="S3031"/>
      <c r="T3031"/>
      <c r="U3031"/>
      <c r="V3031"/>
      <c r="W3031">
        <v>18</v>
      </c>
    </row>
    <row r="3032" spans="1:23">
      <c r="A3032"/>
      <c r="B3032" t="s">
        <v>79</v>
      </c>
      <c r="C3032" t="s">
        <v>79</v>
      </c>
      <c r="D3032" t="s">
        <v>33</v>
      </c>
      <c r="E3032" t="s">
        <v>34</v>
      </c>
      <c r="F3032" t="str">
        <f>"0003332"</f>
        <v>0003332</v>
      </c>
      <c r="G3032">
        <v>1</v>
      </c>
      <c r="H3032" t="str">
        <f>"00000000"</f>
        <v>00000000</v>
      </c>
      <c r="I3032" t="s">
        <v>35</v>
      </c>
      <c r="J3032"/>
      <c r="K3032">
        <v>3.75</v>
      </c>
      <c r="L3032">
        <v>0.0</v>
      </c>
      <c r="M3032"/>
      <c r="N3032"/>
      <c r="O3032">
        <v>0.67</v>
      </c>
      <c r="P3032">
        <v>0.0</v>
      </c>
      <c r="Q3032">
        <v>4.42</v>
      </c>
      <c r="R3032"/>
      <c r="S3032"/>
      <c r="T3032"/>
      <c r="U3032"/>
      <c r="V3032"/>
      <c r="W3032">
        <v>18</v>
      </c>
    </row>
    <row r="3033" spans="1:23">
      <c r="A3033"/>
      <c r="B3033" t="s">
        <v>79</v>
      </c>
      <c r="C3033" t="s">
        <v>79</v>
      </c>
      <c r="D3033" t="s">
        <v>33</v>
      </c>
      <c r="E3033" t="s">
        <v>34</v>
      </c>
      <c r="F3033" t="str">
        <f>"0003333"</f>
        <v>0003333</v>
      </c>
      <c r="G3033">
        <v>1</v>
      </c>
      <c r="H3033" t="str">
        <f>"00000000"</f>
        <v>00000000</v>
      </c>
      <c r="I3033" t="s">
        <v>35</v>
      </c>
      <c r="J3033"/>
      <c r="K3033">
        <v>29.93</v>
      </c>
      <c r="L3033">
        <v>0.0</v>
      </c>
      <c r="M3033"/>
      <c r="N3033"/>
      <c r="O3033">
        <v>5.39</v>
      </c>
      <c r="P3033">
        <v>0.2</v>
      </c>
      <c r="Q3033">
        <v>35.52</v>
      </c>
      <c r="R3033"/>
      <c r="S3033"/>
      <c r="T3033"/>
      <c r="U3033"/>
      <c r="V3033"/>
      <c r="W3033">
        <v>18</v>
      </c>
    </row>
    <row r="3034" spans="1:23">
      <c r="A3034"/>
      <c r="B3034" t="s">
        <v>79</v>
      </c>
      <c r="C3034" t="s">
        <v>79</v>
      </c>
      <c r="D3034" t="s">
        <v>33</v>
      </c>
      <c r="E3034" t="s">
        <v>34</v>
      </c>
      <c r="F3034" t="str">
        <f>"0003334"</f>
        <v>0003334</v>
      </c>
      <c r="G3034">
        <v>1</v>
      </c>
      <c r="H3034" t="str">
        <f>"00000000"</f>
        <v>00000000</v>
      </c>
      <c r="I3034" t="s">
        <v>35</v>
      </c>
      <c r="J3034"/>
      <c r="K3034">
        <v>10.79</v>
      </c>
      <c r="L3034">
        <v>0.0</v>
      </c>
      <c r="M3034"/>
      <c r="N3034"/>
      <c r="O3034">
        <v>1.94</v>
      </c>
      <c r="P3034">
        <v>0.2</v>
      </c>
      <c r="Q3034">
        <v>12.93</v>
      </c>
      <c r="R3034"/>
      <c r="S3034"/>
      <c r="T3034"/>
      <c r="U3034"/>
      <c r="V3034"/>
      <c r="W3034">
        <v>18</v>
      </c>
    </row>
    <row r="3035" spans="1:23">
      <c r="A3035"/>
      <c r="B3035" t="s">
        <v>79</v>
      </c>
      <c r="C3035" t="s">
        <v>79</v>
      </c>
      <c r="D3035" t="s">
        <v>33</v>
      </c>
      <c r="E3035" t="s">
        <v>34</v>
      </c>
      <c r="F3035" t="str">
        <f>"0003335"</f>
        <v>0003335</v>
      </c>
      <c r="G3035">
        <v>1</v>
      </c>
      <c r="H3035" t="str">
        <f>"00000000"</f>
        <v>00000000</v>
      </c>
      <c r="I3035" t="s">
        <v>35</v>
      </c>
      <c r="J3035"/>
      <c r="K3035">
        <v>22.05</v>
      </c>
      <c r="L3035">
        <v>0.0</v>
      </c>
      <c r="M3035"/>
      <c r="N3035"/>
      <c r="O3035">
        <v>3.97</v>
      </c>
      <c r="P3035">
        <v>0.2</v>
      </c>
      <c r="Q3035">
        <v>26.22</v>
      </c>
      <c r="R3035"/>
      <c r="S3035"/>
      <c r="T3035"/>
      <c r="U3035"/>
      <c r="V3035"/>
      <c r="W3035">
        <v>18</v>
      </c>
    </row>
    <row r="3036" spans="1:23">
      <c r="A3036"/>
      <c r="B3036" t="s">
        <v>79</v>
      </c>
      <c r="C3036" t="s">
        <v>79</v>
      </c>
      <c r="D3036" t="s">
        <v>33</v>
      </c>
      <c r="E3036" t="s">
        <v>34</v>
      </c>
      <c r="F3036" t="str">
        <f>"0003336"</f>
        <v>0003336</v>
      </c>
      <c r="G3036">
        <v>1</v>
      </c>
      <c r="H3036" t="str">
        <f>"00000000"</f>
        <v>00000000</v>
      </c>
      <c r="I3036" t="s">
        <v>35</v>
      </c>
      <c r="J3036"/>
      <c r="K3036">
        <v>0.0</v>
      </c>
      <c r="L3036">
        <v>2.97</v>
      </c>
      <c r="M3036"/>
      <c r="N3036"/>
      <c r="O3036">
        <v>0.0</v>
      </c>
      <c r="P3036">
        <v>0.0</v>
      </c>
      <c r="Q3036">
        <v>2.97</v>
      </c>
      <c r="R3036"/>
      <c r="S3036"/>
      <c r="T3036"/>
      <c r="U3036"/>
      <c r="V3036"/>
      <c r="W3036">
        <v>18</v>
      </c>
    </row>
    <row r="3037" spans="1:23">
      <c r="A3037"/>
      <c r="B3037" t="s">
        <v>79</v>
      </c>
      <c r="C3037" t="s">
        <v>79</v>
      </c>
      <c r="D3037" t="s">
        <v>33</v>
      </c>
      <c r="E3037" t="s">
        <v>34</v>
      </c>
      <c r="F3037" t="str">
        <f>"0003337"</f>
        <v>0003337</v>
      </c>
      <c r="G3037">
        <v>1</v>
      </c>
      <c r="H3037" t="str">
        <f>"00000000"</f>
        <v>00000000</v>
      </c>
      <c r="I3037" t="s">
        <v>35</v>
      </c>
      <c r="J3037"/>
      <c r="K3037">
        <v>9.42</v>
      </c>
      <c r="L3037">
        <v>3.12</v>
      </c>
      <c r="M3037"/>
      <c r="N3037"/>
      <c r="O3037">
        <v>1.7</v>
      </c>
      <c r="P3037">
        <v>0.2</v>
      </c>
      <c r="Q3037">
        <v>14.44</v>
      </c>
      <c r="R3037"/>
      <c r="S3037"/>
      <c r="T3037"/>
      <c r="U3037"/>
      <c r="V3037"/>
      <c r="W3037">
        <v>18</v>
      </c>
    </row>
    <row r="3038" spans="1:23">
      <c r="A3038"/>
      <c r="B3038" t="s">
        <v>79</v>
      </c>
      <c r="C3038" t="s">
        <v>79</v>
      </c>
      <c r="D3038" t="s">
        <v>33</v>
      </c>
      <c r="E3038" t="s">
        <v>34</v>
      </c>
      <c r="F3038" t="str">
        <f>"0003338"</f>
        <v>0003338</v>
      </c>
      <c r="G3038">
        <v>1</v>
      </c>
      <c r="H3038" t="str">
        <f>"00000000"</f>
        <v>00000000</v>
      </c>
      <c r="I3038" t="s">
        <v>35</v>
      </c>
      <c r="J3038"/>
      <c r="K3038">
        <v>5.53</v>
      </c>
      <c r="L3038">
        <v>0.0</v>
      </c>
      <c r="M3038"/>
      <c r="N3038"/>
      <c r="O3038">
        <v>0.99</v>
      </c>
      <c r="P3038">
        <v>0.2</v>
      </c>
      <c r="Q3038">
        <v>6.72</v>
      </c>
      <c r="R3038"/>
      <c r="S3038"/>
      <c r="T3038"/>
      <c r="U3038"/>
      <c r="V3038"/>
      <c r="W3038">
        <v>18</v>
      </c>
    </row>
    <row r="3039" spans="1:23">
      <c r="A3039"/>
      <c r="B3039" t="s">
        <v>79</v>
      </c>
      <c r="C3039" t="s">
        <v>79</v>
      </c>
      <c r="D3039" t="s">
        <v>33</v>
      </c>
      <c r="E3039" t="s">
        <v>34</v>
      </c>
      <c r="F3039" t="str">
        <f>"0003339"</f>
        <v>0003339</v>
      </c>
      <c r="G3039">
        <v>1</v>
      </c>
      <c r="H3039" t="str">
        <f>"00000000"</f>
        <v>00000000</v>
      </c>
      <c r="I3039" t="s">
        <v>35</v>
      </c>
      <c r="J3039"/>
      <c r="K3039">
        <v>11.45</v>
      </c>
      <c r="L3039">
        <v>0.0</v>
      </c>
      <c r="M3039"/>
      <c r="N3039"/>
      <c r="O3039">
        <v>2.06</v>
      </c>
      <c r="P3039">
        <v>0.2</v>
      </c>
      <c r="Q3039">
        <v>13.71</v>
      </c>
      <c r="R3039"/>
      <c r="S3039"/>
      <c r="T3039"/>
      <c r="U3039"/>
      <c r="V3039"/>
      <c r="W3039">
        <v>18</v>
      </c>
    </row>
    <row r="3040" spans="1:23">
      <c r="A3040"/>
      <c r="B3040" t="s">
        <v>79</v>
      </c>
      <c r="C3040" t="s">
        <v>79</v>
      </c>
      <c r="D3040" t="s">
        <v>33</v>
      </c>
      <c r="E3040" t="s">
        <v>34</v>
      </c>
      <c r="F3040" t="str">
        <f>"0003340"</f>
        <v>0003340</v>
      </c>
      <c r="G3040">
        <v>1</v>
      </c>
      <c r="H3040" t="str">
        <f>"00000000"</f>
        <v>00000000</v>
      </c>
      <c r="I3040" t="s">
        <v>35</v>
      </c>
      <c r="J3040"/>
      <c r="K3040">
        <v>11.44</v>
      </c>
      <c r="L3040">
        <v>0.0</v>
      </c>
      <c r="M3040"/>
      <c r="N3040"/>
      <c r="O3040">
        <v>2.06</v>
      </c>
      <c r="P3040">
        <v>0.0</v>
      </c>
      <c r="Q3040">
        <v>13.5</v>
      </c>
      <c r="R3040"/>
      <c r="S3040"/>
      <c r="T3040"/>
      <c r="U3040"/>
      <c r="V3040"/>
      <c r="W3040">
        <v>18</v>
      </c>
    </row>
    <row r="3041" spans="1:23">
      <c r="A3041"/>
      <c r="B3041" t="s">
        <v>79</v>
      </c>
      <c r="C3041" t="s">
        <v>79</v>
      </c>
      <c r="D3041" t="s">
        <v>33</v>
      </c>
      <c r="E3041" t="s">
        <v>34</v>
      </c>
      <c r="F3041" t="str">
        <f>"0003341"</f>
        <v>0003341</v>
      </c>
      <c r="G3041">
        <v>1</v>
      </c>
      <c r="H3041" t="str">
        <f>"00000000"</f>
        <v>00000000</v>
      </c>
      <c r="I3041" t="s">
        <v>35</v>
      </c>
      <c r="J3041"/>
      <c r="K3041">
        <v>13.85</v>
      </c>
      <c r="L3041">
        <v>3.94</v>
      </c>
      <c r="M3041"/>
      <c r="N3041"/>
      <c r="O3041">
        <v>2.49</v>
      </c>
      <c r="P3041">
        <v>0.2</v>
      </c>
      <c r="Q3041">
        <v>20.48</v>
      </c>
      <c r="R3041"/>
      <c r="S3041"/>
      <c r="T3041"/>
      <c r="U3041"/>
      <c r="V3041"/>
      <c r="W3041">
        <v>18</v>
      </c>
    </row>
    <row r="3042" spans="1:23">
      <c r="A3042"/>
      <c r="B3042" t="s">
        <v>79</v>
      </c>
      <c r="C3042" t="s">
        <v>79</v>
      </c>
      <c r="D3042" t="s">
        <v>33</v>
      </c>
      <c r="E3042" t="s">
        <v>34</v>
      </c>
      <c r="F3042" t="str">
        <f>"0003342"</f>
        <v>0003342</v>
      </c>
      <c r="G3042">
        <v>1</v>
      </c>
      <c r="H3042" t="str">
        <f>"00000000"</f>
        <v>00000000</v>
      </c>
      <c r="I3042" t="s">
        <v>35</v>
      </c>
      <c r="J3042"/>
      <c r="K3042">
        <v>11.66</v>
      </c>
      <c r="L3042">
        <v>3.18</v>
      </c>
      <c r="M3042"/>
      <c r="N3042"/>
      <c r="O3042">
        <v>2.1</v>
      </c>
      <c r="P3042">
        <v>0.0</v>
      </c>
      <c r="Q3042">
        <v>16.94</v>
      </c>
      <c r="R3042"/>
      <c r="S3042"/>
      <c r="T3042"/>
      <c r="U3042"/>
      <c r="V3042"/>
      <c r="W3042">
        <v>18</v>
      </c>
    </row>
    <row r="3043" spans="1:23">
      <c r="A3043"/>
      <c r="B3043" t="s">
        <v>79</v>
      </c>
      <c r="C3043" t="s">
        <v>79</v>
      </c>
      <c r="D3043" t="s">
        <v>33</v>
      </c>
      <c r="E3043" t="s">
        <v>34</v>
      </c>
      <c r="F3043" t="str">
        <f>"0003343"</f>
        <v>0003343</v>
      </c>
      <c r="G3043">
        <v>1</v>
      </c>
      <c r="H3043" t="str">
        <f>"00000000"</f>
        <v>00000000</v>
      </c>
      <c r="I3043" t="s">
        <v>35</v>
      </c>
      <c r="J3043"/>
      <c r="K3043">
        <v>8.9</v>
      </c>
      <c r="L3043">
        <v>0.0</v>
      </c>
      <c r="M3043"/>
      <c r="N3043"/>
      <c r="O3043">
        <v>1.6</v>
      </c>
      <c r="P3043">
        <v>0.0</v>
      </c>
      <c r="Q3043">
        <v>10.5</v>
      </c>
      <c r="R3043"/>
      <c r="S3043"/>
      <c r="T3043"/>
      <c r="U3043"/>
      <c r="V3043"/>
      <c r="W3043">
        <v>18</v>
      </c>
    </row>
    <row r="3044" spans="1:23">
      <c r="A3044"/>
      <c r="B3044" t="s">
        <v>79</v>
      </c>
      <c r="C3044" t="s">
        <v>79</v>
      </c>
      <c r="D3044" t="s">
        <v>33</v>
      </c>
      <c r="E3044" t="s">
        <v>34</v>
      </c>
      <c r="F3044" t="str">
        <f>"0003344"</f>
        <v>0003344</v>
      </c>
      <c r="G3044">
        <v>1</v>
      </c>
      <c r="H3044" t="str">
        <f>"00000000"</f>
        <v>00000000</v>
      </c>
      <c r="I3044" t="s">
        <v>35</v>
      </c>
      <c r="J3044"/>
      <c r="K3044">
        <v>6.77</v>
      </c>
      <c r="L3044">
        <v>0.0</v>
      </c>
      <c r="M3044"/>
      <c r="N3044"/>
      <c r="O3044">
        <v>1.22</v>
      </c>
      <c r="P3044">
        <v>0.2</v>
      </c>
      <c r="Q3044">
        <v>8.19</v>
      </c>
      <c r="R3044"/>
      <c r="S3044"/>
      <c r="T3044"/>
      <c r="U3044"/>
      <c r="V3044"/>
      <c r="W3044">
        <v>18</v>
      </c>
    </row>
    <row r="3045" spans="1:23">
      <c r="A3045"/>
      <c r="B3045" t="s">
        <v>79</v>
      </c>
      <c r="C3045" t="s">
        <v>79</v>
      </c>
      <c r="D3045" t="s">
        <v>33</v>
      </c>
      <c r="E3045" t="s">
        <v>34</v>
      </c>
      <c r="F3045" t="str">
        <f>"0003345"</f>
        <v>0003345</v>
      </c>
      <c r="G3045">
        <v>1</v>
      </c>
      <c r="H3045" t="str">
        <f>"00000000"</f>
        <v>00000000</v>
      </c>
      <c r="I3045" t="s">
        <v>35</v>
      </c>
      <c r="J3045"/>
      <c r="K3045">
        <v>4.63</v>
      </c>
      <c r="L3045">
        <v>1.0</v>
      </c>
      <c r="M3045"/>
      <c r="N3045"/>
      <c r="O3045">
        <v>0.83</v>
      </c>
      <c r="P3045">
        <v>0.2</v>
      </c>
      <c r="Q3045">
        <v>6.66</v>
      </c>
      <c r="R3045"/>
      <c r="S3045"/>
      <c r="T3045"/>
      <c r="U3045"/>
      <c r="V3045"/>
      <c r="W3045">
        <v>18</v>
      </c>
    </row>
    <row r="3046" spans="1:23">
      <c r="A3046"/>
      <c r="B3046" t="s">
        <v>79</v>
      </c>
      <c r="C3046" t="s">
        <v>79</v>
      </c>
      <c r="D3046" t="s">
        <v>33</v>
      </c>
      <c r="E3046" t="s">
        <v>34</v>
      </c>
      <c r="F3046" t="str">
        <f>"0003346"</f>
        <v>0003346</v>
      </c>
      <c r="G3046">
        <v>1</v>
      </c>
      <c r="H3046" t="str">
        <f>"00000000"</f>
        <v>00000000</v>
      </c>
      <c r="I3046" t="s">
        <v>35</v>
      </c>
      <c r="J3046"/>
      <c r="K3046">
        <v>19.07</v>
      </c>
      <c r="L3046">
        <v>12.01</v>
      </c>
      <c r="M3046"/>
      <c r="N3046"/>
      <c r="O3046">
        <v>3.43</v>
      </c>
      <c r="P3046">
        <v>0.0</v>
      </c>
      <c r="Q3046">
        <v>34.51</v>
      </c>
      <c r="R3046"/>
      <c r="S3046"/>
      <c r="T3046"/>
      <c r="U3046"/>
      <c r="V3046"/>
      <c r="W3046">
        <v>18</v>
      </c>
    </row>
    <row r="3047" spans="1:23">
      <c r="A3047"/>
      <c r="B3047" t="s">
        <v>79</v>
      </c>
      <c r="C3047" t="s">
        <v>79</v>
      </c>
      <c r="D3047" t="s">
        <v>33</v>
      </c>
      <c r="E3047" t="s">
        <v>34</v>
      </c>
      <c r="F3047" t="str">
        <f>"0003347"</f>
        <v>0003347</v>
      </c>
      <c r="G3047">
        <v>1</v>
      </c>
      <c r="H3047" t="str">
        <f>"00000000"</f>
        <v>00000000</v>
      </c>
      <c r="I3047" t="s">
        <v>35</v>
      </c>
      <c r="J3047"/>
      <c r="K3047">
        <v>0.0</v>
      </c>
      <c r="L3047">
        <v>2.06</v>
      </c>
      <c r="M3047"/>
      <c r="N3047"/>
      <c r="O3047">
        <v>0.0</v>
      </c>
      <c r="P3047">
        <v>0.0</v>
      </c>
      <c r="Q3047">
        <v>2.06</v>
      </c>
      <c r="R3047"/>
      <c r="S3047"/>
      <c r="T3047"/>
      <c r="U3047"/>
      <c r="V3047"/>
      <c r="W3047">
        <v>18</v>
      </c>
    </row>
    <row r="3048" spans="1:23">
      <c r="A3048"/>
      <c r="B3048" t="s">
        <v>79</v>
      </c>
      <c r="C3048" t="s">
        <v>79</v>
      </c>
      <c r="D3048" t="s">
        <v>33</v>
      </c>
      <c r="E3048" t="s">
        <v>34</v>
      </c>
      <c r="F3048" t="str">
        <f>"0003348"</f>
        <v>0003348</v>
      </c>
      <c r="G3048">
        <v>1</v>
      </c>
      <c r="H3048" t="str">
        <f>"00000000"</f>
        <v>00000000</v>
      </c>
      <c r="I3048" t="s">
        <v>35</v>
      </c>
      <c r="J3048"/>
      <c r="K3048">
        <v>0.0</v>
      </c>
      <c r="L3048">
        <v>4.1</v>
      </c>
      <c r="M3048"/>
      <c r="N3048"/>
      <c r="O3048">
        <v>0.0</v>
      </c>
      <c r="P3048">
        <v>0.0</v>
      </c>
      <c r="Q3048">
        <v>4.1</v>
      </c>
      <c r="R3048"/>
      <c r="S3048"/>
      <c r="T3048"/>
      <c r="U3048"/>
      <c r="V3048"/>
      <c r="W3048">
        <v>18</v>
      </c>
    </row>
    <row r="3049" spans="1:23">
      <c r="A3049"/>
      <c r="B3049" t="s">
        <v>79</v>
      </c>
      <c r="C3049" t="s">
        <v>79</v>
      </c>
      <c r="D3049" t="s">
        <v>33</v>
      </c>
      <c r="E3049" t="s">
        <v>34</v>
      </c>
      <c r="F3049" t="str">
        <f>"0003349"</f>
        <v>0003349</v>
      </c>
      <c r="G3049">
        <v>1</v>
      </c>
      <c r="H3049" t="str">
        <f>"00000000"</f>
        <v>00000000</v>
      </c>
      <c r="I3049" t="s">
        <v>35</v>
      </c>
      <c r="J3049"/>
      <c r="K3049">
        <v>55.95</v>
      </c>
      <c r="L3049">
        <v>0.0</v>
      </c>
      <c r="M3049"/>
      <c r="N3049"/>
      <c r="O3049">
        <v>10.07</v>
      </c>
      <c r="P3049">
        <v>0.2</v>
      </c>
      <c r="Q3049">
        <v>66.22</v>
      </c>
      <c r="R3049"/>
      <c r="S3049"/>
      <c r="T3049"/>
      <c r="U3049"/>
      <c r="V3049"/>
      <c r="W3049">
        <v>18</v>
      </c>
    </row>
    <row r="3050" spans="1:23">
      <c r="A3050"/>
      <c r="B3050" t="s">
        <v>79</v>
      </c>
      <c r="C3050" t="s">
        <v>79</v>
      </c>
      <c r="D3050" t="s">
        <v>33</v>
      </c>
      <c r="E3050" t="s">
        <v>34</v>
      </c>
      <c r="F3050" t="str">
        <f>"0003350"</f>
        <v>0003350</v>
      </c>
      <c r="G3050">
        <v>1</v>
      </c>
      <c r="H3050" t="str">
        <f>"00000000"</f>
        <v>00000000</v>
      </c>
      <c r="I3050" t="s">
        <v>35</v>
      </c>
      <c r="J3050"/>
      <c r="K3050">
        <v>1.86</v>
      </c>
      <c r="L3050">
        <v>0.0</v>
      </c>
      <c r="M3050"/>
      <c r="N3050"/>
      <c r="O3050">
        <v>0.34</v>
      </c>
      <c r="P3050">
        <v>0.0</v>
      </c>
      <c r="Q3050">
        <v>2.2</v>
      </c>
      <c r="R3050"/>
      <c r="S3050"/>
      <c r="T3050"/>
      <c r="U3050"/>
      <c r="V3050"/>
      <c r="W3050">
        <v>18</v>
      </c>
    </row>
    <row r="3051" spans="1:23">
      <c r="A3051"/>
      <c r="B3051" t="s">
        <v>79</v>
      </c>
      <c r="C3051" t="s">
        <v>79</v>
      </c>
      <c r="D3051" t="s">
        <v>33</v>
      </c>
      <c r="E3051" t="s">
        <v>34</v>
      </c>
      <c r="F3051" t="str">
        <f>"0003351"</f>
        <v>0003351</v>
      </c>
      <c r="G3051">
        <v>1</v>
      </c>
      <c r="H3051" t="str">
        <f>"00000000"</f>
        <v>00000000</v>
      </c>
      <c r="I3051" t="s">
        <v>35</v>
      </c>
      <c r="J3051"/>
      <c r="K3051">
        <v>15.36</v>
      </c>
      <c r="L3051">
        <v>0.0</v>
      </c>
      <c r="M3051"/>
      <c r="N3051"/>
      <c r="O3051">
        <v>2.76</v>
      </c>
      <c r="P3051">
        <v>0.2</v>
      </c>
      <c r="Q3051">
        <v>18.32</v>
      </c>
      <c r="R3051"/>
      <c r="S3051"/>
      <c r="T3051"/>
      <c r="U3051"/>
      <c r="V3051"/>
      <c r="W3051">
        <v>18</v>
      </c>
    </row>
    <row r="3052" spans="1:23">
      <c r="A3052"/>
      <c r="B3052" t="s">
        <v>79</v>
      </c>
      <c r="C3052" t="s">
        <v>79</v>
      </c>
      <c r="D3052" t="s">
        <v>33</v>
      </c>
      <c r="E3052" t="s">
        <v>34</v>
      </c>
      <c r="F3052" t="str">
        <f>"0003352"</f>
        <v>0003352</v>
      </c>
      <c r="G3052">
        <v>1</v>
      </c>
      <c r="H3052" t="str">
        <f>"00000000"</f>
        <v>00000000</v>
      </c>
      <c r="I3052" t="s">
        <v>35</v>
      </c>
      <c r="J3052"/>
      <c r="K3052">
        <v>5.0</v>
      </c>
      <c r="L3052">
        <v>0.0</v>
      </c>
      <c r="M3052"/>
      <c r="N3052"/>
      <c r="O3052">
        <v>0.9</v>
      </c>
      <c r="P3052">
        <v>0.0</v>
      </c>
      <c r="Q3052">
        <v>5.9</v>
      </c>
      <c r="R3052"/>
      <c r="S3052"/>
      <c r="T3052"/>
      <c r="U3052"/>
      <c r="V3052"/>
      <c r="W3052">
        <v>18</v>
      </c>
    </row>
    <row r="3053" spans="1:23">
      <c r="A3053"/>
      <c r="B3053" t="s">
        <v>79</v>
      </c>
      <c r="C3053" t="s">
        <v>79</v>
      </c>
      <c r="D3053" t="s">
        <v>33</v>
      </c>
      <c r="E3053" t="s">
        <v>34</v>
      </c>
      <c r="F3053" t="str">
        <f>"0003353"</f>
        <v>0003353</v>
      </c>
      <c r="G3053">
        <v>1</v>
      </c>
      <c r="H3053" t="str">
        <f>"00000000"</f>
        <v>00000000</v>
      </c>
      <c r="I3053" t="s">
        <v>35</v>
      </c>
      <c r="J3053"/>
      <c r="K3053">
        <v>12.63</v>
      </c>
      <c r="L3053">
        <v>0.0</v>
      </c>
      <c r="M3053"/>
      <c r="N3053"/>
      <c r="O3053">
        <v>2.27</v>
      </c>
      <c r="P3053">
        <v>0.0</v>
      </c>
      <c r="Q3053">
        <v>14.9</v>
      </c>
      <c r="R3053"/>
      <c r="S3053"/>
      <c r="T3053"/>
      <c r="U3053"/>
      <c r="V3053"/>
      <c r="W3053">
        <v>18</v>
      </c>
    </row>
    <row r="3054" spans="1:23">
      <c r="A3054"/>
      <c r="B3054" t="s">
        <v>79</v>
      </c>
      <c r="C3054" t="s">
        <v>79</v>
      </c>
      <c r="D3054" t="s">
        <v>33</v>
      </c>
      <c r="E3054" t="s">
        <v>34</v>
      </c>
      <c r="F3054" t="str">
        <f>"0003354"</f>
        <v>0003354</v>
      </c>
      <c r="G3054">
        <v>1</v>
      </c>
      <c r="H3054" t="str">
        <f>"00000000"</f>
        <v>00000000</v>
      </c>
      <c r="I3054" t="s">
        <v>35</v>
      </c>
      <c r="J3054"/>
      <c r="K3054">
        <v>1.25</v>
      </c>
      <c r="L3054">
        <v>0.76</v>
      </c>
      <c r="M3054"/>
      <c r="N3054"/>
      <c r="O3054">
        <v>0.22</v>
      </c>
      <c r="P3054">
        <v>0.0</v>
      </c>
      <c r="Q3054">
        <v>2.24</v>
      </c>
      <c r="R3054"/>
      <c r="S3054"/>
      <c r="T3054"/>
      <c r="U3054"/>
      <c r="V3054"/>
      <c r="W3054">
        <v>18</v>
      </c>
    </row>
    <row r="3055" spans="1:23">
      <c r="A3055"/>
      <c r="B3055" t="s">
        <v>79</v>
      </c>
      <c r="C3055" t="s">
        <v>79</v>
      </c>
      <c r="D3055" t="s">
        <v>33</v>
      </c>
      <c r="E3055" t="s">
        <v>34</v>
      </c>
      <c r="F3055" t="str">
        <f>"0003355"</f>
        <v>0003355</v>
      </c>
      <c r="G3055">
        <v>1</v>
      </c>
      <c r="H3055" t="str">
        <f>"00000000"</f>
        <v>00000000</v>
      </c>
      <c r="I3055" t="s">
        <v>35</v>
      </c>
      <c r="J3055"/>
      <c r="K3055">
        <v>23.72</v>
      </c>
      <c r="L3055">
        <v>5.42</v>
      </c>
      <c r="M3055"/>
      <c r="N3055"/>
      <c r="O3055">
        <v>4.27</v>
      </c>
      <c r="P3055">
        <v>0.4</v>
      </c>
      <c r="Q3055">
        <v>33.81</v>
      </c>
      <c r="R3055"/>
      <c r="S3055"/>
      <c r="T3055"/>
      <c r="U3055"/>
      <c r="V3055"/>
      <c r="W3055">
        <v>18</v>
      </c>
    </row>
    <row r="3056" spans="1:23">
      <c r="A3056"/>
      <c r="B3056" t="s">
        <v>79</v>
      </c>
      <c r="C3056" t="s">
        <v>79</v>
      </c>
      <c r="D3056" t="s">
        <v>33</v>
      </c>
      <c r="E3056" t="s">
        <v>34</v>
      </c>
      <c r="F3056" t="str">
        <f>"0003356"</f>
        <v>0003356</v>
      </c>
      <c r="G3056">
        <v>1</v>
      </c>
      <c r="H3056" t="str">
        <f>"00000000"</f>
        <v>00000000</v>
      </c>
      <c r="I3056" t="s">
        <v>35</v>
      </c>
      <c r="J3056"/>
      <c r="K3056">
        <v>13.94</v>
      </c>
      <c r="L3056">
        <v>0.0</v>
      </c>
      <c r="M3056"/>
      <c r="N3056"/>
      <c r="O3056">
        <v>2.51</v>
      </c>
      <c r="P3056">
        <v>0.0</v>
      </c>
      <c r="Q3056">
        <v>16.45</v>
      </c>
      <c r="R3056"/>
      <c r="S3056"/>
      <c r="T3056"/>
      <c r="U3056"/>
      <c r="V3056"/>
      <c r="W3056">
        <v>18</v>
      </c>
    </row>
    <row r="3057" spans="1:23">
      <c r="A3057"/>
      <c r="B3057" t="s">
        <v>79</v>
      </c>
      <c r="C3057" t="s">
        <v>79</v>
      </c>
      <c r="D3057" t="s">
        <v>33</v>
      </c>
      <c r="E3057" t="s">
        <v>34</v>
      </c>
      <c r="F3057" t="str">
        <f>"0003357"</f>
        <v>0003357</v>
      </c>
      <c r="G3057">
        <v>1</v>
      </c>
      <c r="H3057" t="str">
        <f>"00000000"</f>
        <v>00000000</v>
      </c>
      <c r="I3057" t="s">
        <v>35</v>
      </c>
      <c r="J3057"/>
      <c r="K3057">
        <v>24.17</v>
      </c>
      <c r="L3057">
        <v>0.0</v>
      </c>
      <c r="M3057"/>
      <c r="N3057"/>
      <c r="O3057">
        <v>4.35</v>
      </c>
      <c r="P3057">
        <v>0.2</v>
      </c>
      <c r="Q3057">
        <v>28.72</v>
      </c>
      <c r="R3057"/>
      <c r="S3057"/>
      <c r="T3057"/>
      <c r="U3057"/>
      <c r="V3057"/>
      <c r="W3057">
        <v>18</v>
      </c>
    </row>
    <row r="3058" spans="1:23">
      <c r="A3058"/>
      <c r="B3058" t="s">
        <v>79</v>
      </c>
      <c r="C3058" t="s">
        <v>79</v>
      </c>
      <c r="D3058" t="s">
        <v>36</v>
      </c>
      <c r="E3058" t="s">
        <v>37</v>
      </c>
      <c r="F3058" t="str">
        <f>"0000045"</f>
        <v>0000045</v>
      </c>
      <c r="G3058">
        <v>6</v>
      </c>
      <c r="H3058" t="str">
        <f>"15604289359"</f>
        <v>15604289359</v>
      </c>
      <c r="I3058" t="s">
        <v>81</v>
      </c>
      <c r="J3058"/>
      <c r="K3058">
        <v>25.1</v>
      </c>
      <c r="L3058">
        <v>0.0</v>
      </c>
      <c r="M3058"/>
      <c r="N3058"/>
      <c r="O3058">
        <v>4.52</v>
      </c>
      <c r="P3058">
        <v>0.2</v>
      </c>
      <c r="Q3058">
        <v>29.82</v>
      </c>
      <c r="R3058"/>
      <c r="S3058"/>
      <c r="T3058"/>
      <c r="U3058"/>
      <c r="V3058"/>
      <c r="W3058">
        <v>18</v>
      </c>
    </row>
    <row r="3059" spans="1:23">
      <c r="A3059"/>
      <c r="B3059" t="s">
        <v>79</v>
      </c>
      <c r="C3059" t="s">
        <v>79</v>
      </c>
      <c r="D3059" t="s">
        <v>33</v>
      </c>
      <c r="E3059" t="s">
        <v>34</v>
      </c>
      <c r="F3059" t="str">
        <f>"0003358"</f>
        <v>0003358</v>
      </c>
      <c r="G3059">
        <v>1</v>
      </c>
      <c r="H3059" t="str">
        <f>"00000000"</f>
        <v>00000000</v>
      </c>
      <c r="I3059" t="s">
        <v>35</v>
      </c>
      <c r="J3059"/>
      <c r="K3059">
        <v>10.17</v>
      </c>
      <c r="L3059">
        <v>0.0</v>
      </c>
      <c r="M3059"/>
      <c r="N3059"/>
      <c r="O3059">
        <v>1.83</v>
      </c>
      <c r="P3059">
        <v>0.0</v>
      </c>
      <c r="Q3059">
        <v>12.0</v>
      </c>
      <c r="R3059"/>
      <c r="S3059"/>
      <c r="T3059"/>
      <c r="U3059"/>
      <c r="V3059"/>
      <c r="W3059">
        <v>18</v>
      </c>
    </row>
    <row r="3060" spans="1:23">
      <c r="A3060"/>
      <c r="B3060" t="s">
        <v>79</v>
      </c>
      <c r="C3060" t="s">
        <v>79</v>
      </c>
      <c r="D3060" t="s">
        <v>33</v>
      </c>
      <c r="E3060" t="s">
        <v>34</v>
      </c>
      <c r="F3060" t="str">
        <f>"0003359"</f>
        <v>0003359</v>
      </c>
      <c r="G3060">
        <v>1</v>
      </c>
      <c r="H3060" t="str">
        <f>"00000000"</f>
        <v>00000000</v>
      </c>
      <c r="I3060" t="s">
        <v>35</v>
      </c>
      <c r="J3060"/>
      <c r="K3060">
        <v>8.64</v>
      </c>
      <c r="L3060">
        <v>0.0</v>
      </c>
      <c r="M3060"/>
      <c r="N3060"/>
      <c r="O3060">
        <v>1.56</v>
      </c>
      <c r="P3060">
        <v>0.0</v>
      </c>
      <c r="Q3060">
        <v>10.2</v>
      </c>
      <c r="R3060"/>
      <c r="S3060"/>
      <c r="T3060"/>
      <c r="U3060"/>
      <c r="V3060"/>
      <c r="W3060">
        <v>18</v>
      </c>
    </row>
    <row r="3061" spans="1:23">
      <c r="A3061"/>
      <c r="B3061" t="s">
        <v>79</v>
      </c>
      <c r="C3061" t="s">
        <v>79</v>
      </c>
      <c r="D3061" t="s">
        <v>33</v>
      </c>
      <c r="E3061" t="s">
        <v>34</v>
      </c>
      <c r="F3061" t="str">
        <f>"0003360"</f>
        <v>0003360</v>
      </c>
      <c r="G3061">
        <v>1</v>
      </c>
      <c r="H3061" t="str">
        <f>"00000000"</f>
        <v>00000000</v>
      </c>
      <c r="I3061" t="s">
        <v>35</v>
      </c>
      <c r="J3061"/>
      <c r="K3061">
        <v>18.49</v>
      </c>
      <c r="L3061">
        <v>0.0</v>
      </c>
      <c r="M3061"/>
      <c r="N3061"/>
      <c r="O3061">
        <v>3.33</v>
      </c>
      <c r="P3061">
        <v>0.2</v>
      </c>
      <c r="Q3061">
        <v>22.02</v>
      </c>
      <c r="R3061"/>
      <c r="S3061"/>
      <c r="T3061"/>
      <c r="U3061"/>
      <c r="V3061"/>
      <c r="W3061">
        <v>18</v>
      </c>
    </row>
    <row r="3062" spans="1:23">
      <c r="A3062"/>
      <c r="B3062" t="s">
        <v>79</v>
      </c>
      <c r="C3062" t="s">
        <v>79</v>
      </c>
      <c r="D3062" t="s">
        <v>33</v>
      </c>
      <c r="E3062" t="s">
        <v>34</v>
      </c>
      <c r="F3062" t="str">
        <f>"0003361"</f>
        <v>0003361</v>
      </c>
      <c r="G3062">
        <v>1</v>
      </c>
      <c r="H3062" t="str">
        <f>"00000000"</f>
        <v>00000000</v>
      </c>
      <c r="I3062" t="s">
        <v>35</v>
      </c>
      <c r="J3062"/>
      <c r="K3062">
        <v>4.75</v>
      </c>
      <c r="L3062">
        <v>0.0</v>
      </c>
      <c r="M3062"/>
      <c r="N3062"/>
      <c r="O3062">
        <v>0.85</v>
      </c>
      <c r="P3062">
        <v>0.0</v>
      </c>
      <c r="Q3062">
        <v>5.6</v>
      </c>
      <c r="R3062"/>
      <c r="S3062"/>
      <c r="T3062"/>
      <c r="U3062"/>
      <c r="V3062"/>
      <c r="W3062">
        <v>18</v>
      </c>
    </row>
    <row r="3063" spans="1:23">
      <c r="A3063"/>
      <c r="B3063" t="s">
        <v>79</v>
      </c>
      <c r="C3063" t="s">
        <v>79</v>
      </c>
      <c r="D3063" t="s">
        <v>33</v>
      </c>
      <c r="E3063" t="s">
        <v>34</v>
      </c>
      <c r="F3063" t="str">
        <f>"0003362"</f>
        <v>0003362</v>
      </c>
      <c r="G3063">
        <v>1</v>
      </c>
      <c r="H3063" t="str">
        <f>"00000000"</f>
        <v>00000000</v>
      </c>
      <c r="I3063" t="s">
        <v>35</v>
      </c>
      <c r="J3063"/>
      <c r="K3063">
        <v>1.62</v>
      </c>
      <c r="L3063">
        <v>1.92</v>
      </c>
      <c r="M3063"/>
      <c r="N3063"/>
      <c r="O3063">
        <v>0.29</v>
      </c>
      <c r="P3063">
        <v>0.0</v>
      </c>
      <c r="Q3063">
        <v>3.83</v>
      </c>
      <c r="R3063"/>
      <c r="S3063"/>
      <c r="T3063"/>
      <c r="U3063"/>
      <c r="V3063"/>
      <c r="W3063">
        <v>18</v>
      </c>
    </row>
    <row r="3064" spans="1:23">
      <c r="A3064"/>
      <c r="B3064" t="s">
        <v>79</v>
      </c>
      <c r="C3064" t="s">
        <v>79</v>
      </c>
      <c r="D3064" t="s">
        <v>33</v>
      </c>
      <c r="E3064" t="s">
        <v>34</v>
      </c>
      <c r="F3064" t="str">
        <f>"0003363"</f>
        <v>0003363</v>
      </c>
      <c r="G3064">
        <v>1</v>
      </c>
      <c r="H3064" t="str">
        <f>"00000000"</f>
        <v>00000000</v>
      </c>
      <c r="I3064" t="s">
        <v>35</v>
      </c>
      <c r="J3064"/>
      <c r="K3064">
        <v>2.37</v>
      </c>
      <c r="L3064">
        <v>0.0</v>
      </c>
      <c r="M3064"/>
      <c r="N3064"/>
      <c r="O3064">
        <v>0.43</v>
      </c>
      <c r="P3064">
        <v>0.0</v>
      </c>
      <c r="Q3064">
        <v>2.8</v>
      </c>
      <c r="R3064"/>
      <c r="S3064"/>
      <c r="T3064"/>
      <c r="U3064"/>
      <c r="V3064"/>
      <c r="W3064">
        <v>18</v>
      </c>
    </row>
    <row r="3065" spans="1:23">
      <c r="A3065"/>
      <c r="B3065" t="s">
        <v>79</v>
      </c>
      <c r="C3065" t="s">
        <v>79</v>
      </c>
      <c r="D3065" t="s">
        <v>33</v>
      </c>
      <c r="E3065" t="s">
        <v>34</v>
      </c>
      <c r="F3065" t="str">
        <f>"0003364"</f>
        <v>0003364</v>
      </c>
      <c r="G3065">
        <v>1</v>
      </c>
      <c r="H3065" t="str">
        <f>"00000000"</f>
        <v>00000000</v>
      </c>
      <c r="I3065" t="s">
        <v>35</v>
      </c>
      <c r="J3065"/>
      <c r="K3065">
        <v>86.49</v>
      </c>
      <c r="L3065">
        <v>0.0</v>
      </c>
      <c r="M3065"/>
      <c r="N3065"/>
      <c r="O3065">
        <v>15.57</v>
      </c>
      <c r="P3065">
        <v>0.2</v>
      </c>
      <c r="Q3065">
        <v>102.26</v>
      </c>
      <c r="R3065"/>
      <c r="S3065"/>
      <c r="T3065"/>
      <c r="U3065"/>
      <c r="V3065"/>
      <c r="W3065">
        <v>18</v>
      </c>
    </row>
    <row r="3066" spans="1:23">
      <c r="A3066"/>
      <c r="B3066" t="s">
        <v>79</v>
      </c>
      <c r="C3066" t="s">
        <v>79</v>
      </c>
      <c r="D3066" t="s">
        <v>33</v>
      </c>
      <c r="E3066" t="s">
        <v>34</v>
      </c>
      <c r="F3066" t="str">
        <f>"0003365"</f>
        <v>0003365</v>
      </c>
      <c r="G3066">
        <v>1</v>
      </c>
      <c r="H3066" t="str">
        <f>"00000000"</f>
        <v>00000000</v>
      </c>
      <c r="I3066" t="s">
        <v>35</v>
      </c>
      <c r="J3066"/>
      <c r="K3066">
        <v>1.53</v>
      </c>
      <c r="L3066">
        <v>0.0</v>
      </c>
      <c r="M3066"/>
      <c r="N3066"/>
      <c r="O3066">
        <v>0.27</v>
      </c>
      <c r="P3066">
        <v>0.0</v>
      </c>
      <c r="Q3066">
        <v>1.8</v>
      </c>
      <c r="R3066"/>
      <c r="S3066"/>
      <c r="T3066"/>
      <c r="U3066"/>
      <c r="V3066"/>
      <c r="W3066">
        <v>18</v>
      </c>
    </row>
    <row r="3067" spans="1:23">
      <c r="A3067"/>
      <c r="B3067" t="s">
        <v>79</v>
      </c>
      <c r="C3067" t="s">
        <v>79</v>
      </c>
      <c r="D3067" t="s">
        <v>33</v>
      </c>
      <c r="E3067" t="s">
        <v>34</v>
      </c>
      <c r="F3067" t="str">
        <f>"0003366"</f>
        <v>0003366</v>
      </c>
      <c r="G3067">
        <v>1</v>
      </c>
      <c r="H3067" t="str">
        <f>"00000000"</f>
        <v>00000000</v>
      </c>
      <c r="I3067" t="s">
        <v>35</v>
      </c>
      <c r="J3067"/>
      <c r="K3067">
        <v>10.25</v>
      </c>
      <c r="L3067">
        <v>9.7</v>
      </c>
      <c r="M3067"/>
      <c r="N3067"/>
      <c r="O3067">
        <v>1.85</v>
      </c>
      <c r="P3067">
        <v>0.0</v>
      </c>
      <c r="Q3067">
        <v>21.8</v>
      </c>
      <c r="R3067"/>
      <c r="S3067"/>
      <c r="T3067"/>
      <c r="U3067"/>
      <c r="V3067"/>
      <c r="W3067">
        <v>18</v>
      </c>
    </row>
    <row r="3068" spans="1:23">
      <c r="A3068"/>
      <c r="B3068" t="s">
        <v>79</v>
      </c>
      <c r="C3068" t="s">
        <v>79</v>
      </c>
      <c r="D3068" t="s">
        <v>33</v>
      </c>
      <c r="E3068" t="s">
        <v>34</v>
      </c>
      <c r="F3068" t="str">
        <f>"0003367"</f>
        <v>0003367</v>
      </c>
      <c r="G3068">
        <v>1</v>
      </c>
      <c r="H3068" t="str">
        <f>"00000000"</f>
        <v>00000000</v>
      </c>
      <c r="I3068" t="s">
        <v>35</v>
      </c>
      <c r="J3068"/>
      <c r="K3068">
        <v>3.22</v>
      </c>
      <c r="L3068">
        <v>0.0</v>
      </c>
      <c r="M3068"/>
      <c r="N3068"/>
      <c r="O3068">
        <v>0.58</v>
      </c>
      <c r="P3068">
        <v>0.0</v>
      </c>
      <c r="Q3068">
        <v>3.8</v>
      </c>
      <c r="R3068"/>
      <c r="S3068"/>
      <c r="T3068"/>
      <c r="U3068"/>
      <c r="V3068"/>
      <c r="W3068">
        <v>18</v>
      </c>
    </row>
    <row r="3069" spans="1:23">
      <c r="A3069"/>
      <c r="B3069" t="s">
        <v>79</v>
      </c>
      <c r="C3069" t="s">
        <v>79</v>
      </c>
      <c r="D3069" t="s">
        <v>33</v>
      </c>
      <c r="E3069" t="s">
        <v>34</v>
      </c>
      <c r="F3069" t="str">
        <f>"0003368"</f>
        <v>0003368</v>
      </c>
      <c r="G3069">
        <v>1</v>
      </c>
      <c r="H3069" t="str">
        <f>"00000000"</f>
        <v>00000000</v>
      </c>
      <c r="I3069" t="s">
        <v>35</v>
      </c>
      <c r="J3069"/>
      <c r="K3069">
        <v>6.36</v>
      </c>
      <c r="L3069">
        <v>0.0</v>
      </c>
      <c r="M3069"/>
      <c r="N3069"/>
      <c r="O3069">
        <v>1.14</v>
      </c>
      <c r="P3069">
        <v>0.0</v>
      </c>
      <c r="Q3069">
        <v>7.5</v>
      </c>
      <c r="R3069"/>
      <c r="S3069"/>
      <c r="T3069"/>
      <c r="U3069"/>
      <c r="V3069"/>
      <c r="W3069">
        <v>18</v>
      </c>
    </row>
    <row r="3070" spans="1:23">
      <c r="A3070"/>
      <c r="B3070" t="s">
        <v>79</v>
      </c>
      <c r="C3070" t="s">
        <v>79</v>
      </c>
      <c r="D3070" t="s">
        <v>33</v>
      </c>
      <c r="E3070" t="s">
        <v>34</v>
      </c>
      <c r="F3070" t="str">
        <f>"0003369"</f>
        <v>0003369</v>
      </c>
      <c r="G3070">
        <v>1</v>
      </c>
      <c r="H3070" t="str">
        <f>"00000000"</f>
        <v>00000000</v>
      </c>
      <c r="I3070" t="s">
        <v>35</v>
      </c>
      <c r="J3070"/>
      <c r="K3070">
        <v>18.07</v>
      </c>
      <c r="L3070">
        <v>0.0</v>
      </c>
      <c r="M3070"/>
      <c r="N3070"/>
      <c r="O3070">
        <v>3.25</v>
      </c>
      <c r="P3070">
        <v>0.2</v>
      </c>
      <c r="Q3070">
        <v>21.52</v>
      </c>
      <c r="R3070"/>
      <c r="S3070"/>
      <c r="T3070"/>
      <c r="U3070"/>
      <c r="V3070"/>
      <c r="W3070">
        <v>18</v>
      </c>
    </row>
    <row r="3071" spans="1:23">
      <c r="A3071"/>
      <c r="B3071" t="s">
        <v>79</v>
      </c>
      <c r="C3071" t="s">
        <v>79</v>
      </c>
      <c r="D3071" t="s">
        <v>33</v>
      </c>
      <c r="E3071" t="s">
        <v>34</v>
      </c>
      <c r="F3071" t="str">
        <f>"0003370"</f>
        <v>0003370</v>
      </c>
      <c r="G3071">
        <v>1</v>
      </c>
      <c r="H3071" t="str">
        <f>"00000000"</f>
        <v>00000000</v>
      </c>
      <c r="I3071" t="s">
        <v>35</v>
      </c>
      <c r="J3071"/>
      <c r="K3071">
        <v>18.75</v>
      </c>
      <c r="L3071">
        <v>0.0</v>
      </c>
      <c r="M3071"/>
      <c r="N3071"/>
      <c r="O3071">
        <v>3.37</v>
      </c>
      <c r="P3071">
        <v>0.2</v>
      </c>
      <c r="Q3071">
        <v>22.32</v>
      </c>
      <c r="R3071"/>
      <c r="S3071"/>
      <c r="T3071"/>
      <c r="U3071"/>
      <c r="V3071"/>
      <c r="W3071">
        <v>18</v>
      </c>
    </row>
    <row r="3072" spans="1:23">
      <c r="A3072"/>
      <c r="B3072" t="s">
        <v>79</v>
      </c>
      <c r="C3072" t="s">
        <v>79</v>
      </c>
      <c r="D3072" t="s">
        <v>33</v>
      </c>
      <c r="E3072" t="s">
        <v>34</v>
      </c>
      <c r="F3072" t="str">
        <f>"0003371"</f>
        <v>0003371</v>
      </c>
      <c r="G3072">
        <v>1</v>
      </c>
      <c r="H3072" t="str">
        <f>"00000000"</f>
        <v>00000000</v>
      </c>
      <c r="I3072" t="s">
        <v>35</v>
      </c>
      <c r="J3072"/>
      <c r="K3072">
        <v>18.26</v>
      </c>
      <c r="L3072">
        <v>0.0</v>
      </c>
      <c r="M3072"/>
      <c r="N3072"/>
      <c r="O3072">
        <v>3.29</v>
      </c>
      <c r="P3072">
        <v>0.2</v>
      </c>
      <c r="Q3072">
        <v>21.75</v>
      </c>
      <c r="R3072"/>
      <c r="S3072"/>
      <c r="T3072"/>
      <c r="U3072"/>
      <c r="V3072"/>
      <c r="W3072">
        <v>18</v>
      </c>
    </row>
    <row r="3073" spans="1:23">
      <c r="A3073"/>
      <c r="B3073" t="s">
        <v>79</v>
      </c>
      <c r="C3073" t="s">
        <v>79</v>
      </c>
      <c r="D3073" t="s">
        <v>33</v>
      </c>
      <c r="E3073" t="s">
        <v>34</v>
      </c>
      <c r="F3073" t="str">
        <f>"0003372"</f>
        <v>0003372</v>
      </c>
      <c r="G3073">
        <v>1</v>
      </c>
      <c r="H3073" t="str">
        <f>"00000000"</f>
        <v>00000000</v>
      </c>
      <c r="I3073" t="s">
        <v>35</v>
      </c>
      <c r="J3073"/>
      <c r="K3073">
        <v>9.08</v>
      </c>
      <c r="L3073">
        <v>0.0</v>
      </c>
      <c r="M3073"/>
      <c r="N3073"/>
      <c r="O3073">
        <v>1.64</v>
      </c>
      <c r="P3073">
        <v>0.2</v>
      </c>
      <c r="Q3073">
        <v>10.92</v>
      </c>
      <c r="R3073"/>
      <c r="S3073"/>
      <c r="T3073"/>
      <c r="U3073"/>
      <c r="V3073"/>
      <c r="W3073">
        <v>18</v>
      </c>
    </row>
    <row r="3074" spans="1:23">
      <c r="A3074"/>
      <c r="B3074" t="s">
        <v>79</v>
      </c>
      <c r="C3074" t="s">
        <v>79</v>
      </c>
      <c r="D3074" t="s">
        <v>33</v>
      </c>
      <c r="E3074" t="s">
        <v>34</v>
      </c>
      <c r="F3074" t="str">
        <f>"0003373"</f>
        <v>0003373</v>
      </c>
      <c r="G3074">
        <v>1</v>
      </c>
      <c r="H3074" t="str">
        <f>"00000000"</f>
        <v>00000000</v>
      </c>
      <c r="I3074" t="s">
        <v>35</v>
      </c>
      <c r="J3074"/>
      <c r="K3074">
        <v>22.47</v>
      </c>
      <c r="L3074">
        <v>0.0</v>
      </c>
      <c r="M3074"/>
      <c r="N3074"/>
      <c r="O3074">
        <v>4.05</v>
      </c>
      <c r="P3074">
        <v>0.2</v>
      </c>
      <c r="Q3074">
        <v>26.72</v>
      </c>
      <c r="R3074"/>
      <c r="S3074"/>
      <c r="T3074"/>
      <c r="U3074"/>
      <c r="V3074"/>
      <c r="W3074">
        <v>18</v>
      </c>
    </row>
    <row r="3075" spans="1:23">
      <c r="A3075"/>
      <c r="B3075" t="s">
        <v>79</v>
      </c>
      <c r="C3075" t="s">
        <v>79</v>
      </c>
      <c r="D3075" t="s">
        <v>33</v>
      </c>
      <c r="E3075" t="s">
        <v>34</v>
      </c>
      <c r="F3075" t="str">
        <f>"0003374"</f>
        <v>0003374</v>
      </c>
      <c r="G3075">
        <v>1</v>
      </c>
      <c r="H3075" t="str">
        <f>"00000000"</f>
        <v>00000000</v>
      </c>
      <c r="I3075" t="s">
        <v>35</v>
      </c>
      <c r="J3075"/>
      <c r="K3075">
        <v>64.69</v>
      </c>
      <c r="L3075">
        <v>2.86</v>
      </c>
      <c r="M3075"/>
      <c r="N3075"/>
      <c r="O3075">
        <v>11.65</v>
      </c>
      <c r="P3075">
        <v>0.4</v>
      </c>
      <c r="Q3075">
        <v>79.6</v>
      </c>
      <c r="R3075"/>
      <c r="S3075"/>
      <c r="T3075"/>
      <c r="U3075"/>
      <c r="V3075"/>
      <c r="W3075">
        <v>18</v>
      </c>
    </row>
    <row r="3076" spans="1:23">
      <c r="A3076"/>
      <c r="B3076" t="s">
        <v>79</v>
      </c>
      <c r="C3076" t="s">
        <v>79</v>
      </c>
      <c r="D3076" t="s">
        <v>33</v>
      </c>
      <c r="E3076" t="s">
        <v>34</v>
      </c>
      <c r="F3076" t="str">
        <f>"0003375"</f>
        <v>0003375</v>
      </c>
      <c r="G3076">
        <v>1</v>
      </c>
      <c r="H3076" t="str">
        <f>"00000000"</f>
        <v>00000000</v>
      </c>
      <c r="I3076" t="s">
        <v>35</v>
      </c>
      <c r="J3076"/>
      <c r="K3076">
        <v>29.73</v>
      </c>
      <c r="L3076">
        <v>10.09</v>
      </c>
      <c r="M3076"/>
      <c r="N3076"/>
      <c r="O3076">
        <v>5.35</v>
      </c>
      <c r="P3076">
        <v>0.2</v>
      </c>
      <c r="Q3076">
        <v>45.37</v>
      </c>
      <c r="R3076"/>
      <c r="S3076"/>
      <c r="T3076"/>
      <c r="U3076"/>
      <c r="V3076"/>
      <c r="W3076">
        <v>18</v>
      </c>
    </row>
    <row r="3077" spans="1:23">
      <c r="A3077"/>
      <c r="B3077" t="s">
        <v>79</v>
      </c>
      <c r="C3077" t="s">
        <v>79</v>
      </c>
      <c r="D3077" t="s">
        <v>33</v>
      </c>
      <c r="E3077" t="s">
        <v>34</v>
      </c>
      <c r="F3077" t="str">
        <f>"0003376"</f>
        <v>0003376</v>
      </c>
      <c r="G3077">
        <v>1</v>
      </c>
      <c r="H3077" t="str">
        <f>"00000000"</f>
        <v>00000000</v>
      </c>
      <c r="I3077" t="s">
        <v>35</v>
      </c>
      <c r="J3077"/>
      <c r="K3077">
        <v>5.74</v>
      </c>
      <c r="L3077">
        <v>1.77</v>
      </c>
      <c r="M3077"/>
      <c r="N3077"/>
      <c r="O3077">
        <v>1.03</v>
      </c>
      <c r="P3077">
        <v>0.0</v>
      </c>
      <c r="Q3077">
        <v>8.54</v>
      </c>
      <c r="R3077"/>
      <c r="S3077"/>
      <c r="T3077"/>
      <c r="U3077"/>
      <c r="V3077"/>
      <c r="W3077">
        <v>18</v>
      </c>
    </row>
    <row r="3078" spans="1:23">
      <c r="A3078"/>
      <c r="B3078" t="s">
        <v>79</v>
      </c>
      <c r="C3078" t="s">
        <v>79</v>
      </c>
      <c r="D3078" t="s">
        <v>33</v>
      </c>
      <c r="E3078" t="s">
        <v>34</v>
      </c>
      <c r="F3078" t="str">
        <f>"0003377"</f>
        <v>0003377</v>
      </c>
      <c r="G3078">
        <v>1</v>
      </c>
      <c r="H3078" t="str">
        <f>"00000000"</f>
        <v>00000000</v>
      </c>
      <c r="I3078" t="s">
        <v>35</v>
      </c>
      <c r="J3078"/>
      <c r="K3078">
        <v>25.53</v>
      </c>
      <c r="L3078">
        <v>0.0</v>
      </c>
      <c r="M3078"/>
      <c r="N3078"/>
      <c r="O3078">
        <v>4.59</v>
      </c>
      <c r="P3078">
        <v>0.2</v>
      </c>
      <c r="Q3078">
        <v>30.32</v>
      </c>
      <c r="R3078"/>
      <c r="S3078"/>
      <c r="T3078"/>
      <c r="U3078"/>
      <c r="V3078"/>
      <c r="W3078">
        <v>18</v>
      </c>
    </row>
    <row r="3079" spans="1:23">
      <c r="A3079"/>
      <c r="B3079" t="s">
        <v>79</v>
      </c>
      <c r="C3079" t="s">
        <v>79</v>
      </c>
      <c r="D3079" t="s">
        <v>33</v>
      </c>
      <c r="E3079" t="s">
        <v>34</v>
      </c>
      <c r="F3079" t="str">
        <f>"0003378"</f>
        <v>0003378</v>
      </c>
      <c r="G3079">
        <v>1</v>
      </c>
      <c r="H3079" t="str">
        <f>"00000000"</f>
        <v>00000000</v>
      </c>
      <c r="I3079" t="s">
        <v>35</v>
      </c>
      <c r="J3079"/>
      <c r="K3079">
        <v>1.27</v>
      </c>
      <c r="L3079">
        <v>0.0</v>
      </c>
      <c r="M3079"/>
      <c r="N3079"/>
      <c r="O3079">
        <v>0.23</v>
      </c>
      <c r="P3079">
        <v>0.0</v>
      </c>
      <c r="Q3079">
        <v>1.5</v>
      </c>
      <c r="R3079"/>
      <c r="S3079"/>
      <c r="T3079"/>
      <c r="U3079"/>
      <c r="V3079"/>
      <c r="W3079">
        <v>18</v>
      </c>
    </row>
    <row r="3080" spans="1:23">
      <c r="A3080"/>
      <c r="B3080" t="s">
        <v>79</v>
      </c>
      <c r="C3080" t="s">
        <v>79</v>
      </c>
      <c r="D3080" t="s">
        <v>33</v>
      </c>
      <c r="E3080" t="s">
        <v>34</v>
      </c>
      <c r="F3080" t="str">
        <f>"0003379"</f>
        <v>0003379</v>
      </c>
      <c r="G3080">
        <v>1</v>
      </c>
      <c r="H3080" t="str">
        <f>"00000000"</f>
        <v>00000000</v>
      </c>
      <c r="I3080" t="s">
        <v>35</v>
      </c>
      <c r="J3080"/>
      <c r="K3080">
        <v>2.88</v>
      </c>
      <c r="L3080">
        <v>0.0</v>
      </c>
      <c r="M3080"/>
      <c r="N3080"/>
      <c r="O3080">
        <v>0.52</v>
      </c>
      <c r="P3080">
        <v>0.0</v>
      </c>
      <c r="Q3080">
        <v>3.4</v>
      </c>
      <c r="R3080"/>
      <c r="S3080"/>
      <c r="T3080"/>
      <c r="U3080"/>
      <c r="V3080"/>
      <c r="W3080">
        <v>18</v>
      </c>
    </row>
    <row r="3081" spans="1:23">
      <c r="A3081"/>
      <c r="B3081" t="s">
        <v>79</v>
      </c>
      <c r="C3081" t="s">
        <v>79</v>
      </c>
      <c r="D3081" t="s">
        <v>33</v>
      </c>
      <c r="E3081" t="s">
        <v>34</v>
      </c>
      <c r="F3081" t="str">
        <f>"0003380"</f>
        <v>0003380</v>
      </c>
      <c r="G3081">
        <v>1</v>
      </c>
      <c r="H3081" t="str">
        <f>"00000000"</f>
        <v>00000000</v>
      </c>
      <c r="I3081" t="s">
        <v>35</v>
      </c>
      <c r="J3081"/>
      <c r="K3081">
        <v>14.07</v>
      </c>
      <c r="L3081">
        <v>0.97</v>
      </c>
      <c r="M3081"/>
      <c r="N3081"/>
      <c r="O3081">
        <v>2.53</v>
      </c>
      <c r="P3081">
        <v>0.0</v>
      </c>
      <c r="Q3081">
        <v>17.57</v>
      </c>
      <c r="R3081"/>
      <c r="S3081"/>
      <c r="T3081"/>
      <c r="U3081"/>
      <c r="V3081"/>
      <c r="W3081">
        <v>18</v>
      </c>
    </row>
    <row r="3082" spans="1:23">
      <c r="A3082"/>
      <c r="B3082" t="s">
        <v>79</v>
      </c>
      <c r="C3082" t="s">
        <v>79</v>
      </c>
      <c r="D3082" t="s">
        <v>33</v>
      </c>
      <c r="E3082" t="s">
        <v>34</v>
      </c>
      <c r="F3082" t="str">
        <f>"0003381"</f>
        <v>0003381</v>
      </c>
      <c r="G3082">
        <v>1</v>
      </c>
      <c r="H3082" t="str">
        <f>"00000000"</f>
        <v>00000000</v>
      </c>
      <c r="I3082" t="s">
        <v>35</v>
      </c>
      <c r="J3082"/>
      <c r="K3082">
        <v>0.02</v>
      </c>
      <c r="L3082">
        <v>0.0</v>
      </c>
      <c r="M3082"/>
      <c r="N3082"/>
      <c r="O3082">
        <v>0.0</v>
      </c>
      <c r="P3082">
        <v>0.2</v>
      </c>
      <c r="Q3082">
        <v>0.22</v>
      </c>
      <c r="R3082"/>
      <c r="S3082"/>
      <c r="T3082"/>
      <c r="U3082"/>
      <c r="V3082"/>
      <c r="W3082">
        <v>18</v>
      </c>
    </row>
    <row r="3083" spans="1:23">
      <c r="A3083"/>
      <c r="B3083" t="s">
        <v>82</v>
      </c>
      <c r="C3083" t="s">
        <v>82</v>
      </c>
      <c r="D3083" t="s">
        <v>33</v>
      </c>
      <c r="E3083" t="s">
        <v>34</v>
      </c>
      <c r="F3083" t="str">
        <f>"0003382"</f>
        <v>0003382</v>
      </c>
      <c r="G3083">
        <v>1</v>
      </c>
      <c r="H3083" t="str">
        <f>"00000000"</f>
        <v>00000000</v>
      </c>
      <c r="I3083" t="s">
        <v>35</v>
      </c>
      <c r="J3083"/>
      <c r="K3083">
        <v>4.66</v>
      </c>
      <c r="L3083">
        <v>1.98</v>
      </c>
      <c r="M3083"/>
      <c r="N3083"/>
      <c r="O3083">
        <v>0.84</v>
      </c>
      <c r="P3083">
        <v>0.0</v>
      </c>
      <c r="Q3083">
        <v>7.48</v>
      </c>
      <c r="R3083"/>
      <c r="S3083"/>
      <c r="T3083"/>
      <c r="U3083"/>
      <c r="V3083"/>
      <c r="W3083">
        <v>18</v>
      </c>
    </row>
    <row r="3084" spans="1:23">
      <c r="A3084"/>
      <c r="B3084" t="s">
        <v>82</v>
      </c>
      <c r="C3084" t="s">
        <v>82</v>
      </c>
      <c r="D3084" t="s">
        <v>33</v>
      </c>
      <c r="E3084" t="s">
        <v>34</v>
      </c>
      <c r="F3084" t="str">
        <f>"0003383"</f>
        <v>0003383</v>
      </c>
      <c r="G3084">
        <v>1</v>
      </c>
      <c r="H3084" t="str">
        <f>"00000000"</f>
        <v>00000000</v>
      </c>
      <c r="I3084" t="s">
        <v>35</v>
      </c>
      <c r="J3084"/>
      <c r="K3084">
        <v>5.51</v>
      </c>
      <c r="L3084">
        <v>0.0</v>
      </c>
      <c r="M3084"/>
      <c r="N3084"/>
      <c r="O3084">
        <v>0.99</v>
      </c>
      <c r="P3084">
        <v>0.0</v>
      </c>
      <c r="Q3084">
        <v>6.5</v>
      </c>
      <c r="R3084"/>
      <c r="S3084"/>
      <c r="T3084"/>
      <c r="U3084"/>
      <c r="V3084"/>
      <c r="W3084">
        <v>18</v>
      </c>
    </row>
    <row r="3085" spans="1:23">
      <c r="A3085"/>
      <c r="B3085" t="s">
        <v>82</v>
      </c>
      <c r="C3085" t="s">
        <v>82</v>
      </c>
      <c r="D3085" t="s">
        <v>33</v>
      </c>
      <c r="E3085" t="s">
        <v>34</v>
      </c>
      <c r="F3085" t="str">
        <f>"0003384"</f>
        <v>0003384</v>
      </c>
      <c r="G3085">
        <v>1</v>
      </c>
      <c r="H3085" t="str">
        <f>"00000000"</f>
        <v>00000000</v>
      </c>
      <c r="I3085" t="s">
        <v>35</v>
      </c>
      <c r="J3085"/>
      <c r="K3085">
        <v>0.0</v>
      </c>
      <c r="L3085">
        <v>2.58</v>
      </c>
      <c r="M3085"/>
      <c r="N3085"/>
      <c r="O3085">
        <v>0.0</v>
      </c>
      <c r="P3085">
        <v>0.0</v>
      </c>
      <c r="Q3085">
        <v>2.58</v>
      </c>
      <c r="R3085"/>
      <c r="S3085"/>
      <c r="T3085"/>
      <c r="U3085"/>
      <c r="V3085"/>
      <c r="W3085">
        <v>18</v>
      </c>
    </row>
    <row r="3086" spans="1:23">
      <c r="A3086"/>
      <c r="B3086" t="s">
        <v>82</v>
      </c>
      <c r="C3086" t="s">
        <v>82</v>
      </c>
      <c r="D3086" t="s">
        <v>33</v>
      </c>
      <c r="E3086" t="s">
        <v>34</v>
      </c>
      <c r="F3086" t="str">
        <f>"0003385"</f>
        <v>0003385</v>
      </c>
      <c r="G3086">
        <v>1</v>
      </c>
      <c r="H3086" t="str">
        <f>"00000000"</f>
        <v>00000000</v>
      </c>
      <c r="I3086" t="s">
        <v>35</v>
      </c>
      <c r="J3086"/>
      <c r="K3086">
        <v>3.39</v>
      </c>
      <c r="L3086">
        <v>3.22</v>
      </c>
      <c r="M3086"/>
      <c r="N3086"/>
      <c r="O3086">
        <v>0.61</v>
      </c>
      <c r="P3086">
        <v>0.0</v>
      </c>
      <c r="Q3086">
        <v>7.22</v>
      </c>
      <c r="R3086"/>
      <c r="S3086"/>
      <c r="T3086"/>
      <c r="U3086"/>
      <c r="V3086"/>
      <c r="W3086">
        <v>18</v>
      </c>
    </row>
    <row r="3087" spans="1:23">
      <c r="A3087"/>
      <c r="B3087" t="s">
        <v>82</v>
      </c>
      <c r="C3087" t="s">
        <v>82</v>
      </c>
      <c r="D3087" t="s">
        <v>33</v>
      </c>
      <c r="E3087" t="s">
        <v>34</v>
      </c>
      <c r="F3087" t="str">
        <f>"0003386"</f>
        <v>0003386</v>
      </c>
      <c r="G3087">
        <v>1</v>
      </c>
      <c r="H3087" t="str">
        <f>"00000000"</f>
        <v>00000000</v>
      </c>
      <c r="I3087" t="s">
        <v>35</v>
      </c>
      <c r="J3087"/>
      <c r="K3087">
        <v>0.0</v>
      </c>
      <c r="L3087">
        <v>0.63</v>
      </c>
      <c r="M3087"/>
      <c r="N3087"/>
      <c r="O3087">
        <v>0.0</v>
      </c>
      <c r="P3087">
        <v>0.0</v>
      </c>
      <c r="Q3087">
        <v>0.63</v>
      </c>
      <c r="R3087"/>
      <c r="S3087"/>
      <c r="T3087"/>
      <c r="U3087"/>
      <c r="V3087"/>
      <c r="W3087">
        <v>18</v>
      </c>
    </row>
    <row r="3088" spans="1:23">
      <c r="A3088"/>
      <c r="B3088" t="s">
        <v>82</v>
      </c>
      <c r="C3088" t="s">
        <v>82</v>
      </c>
      <c r="D3088" t="s">
        <v>33</v>
      </c>
      <c r="E3088" t="s">
        <v>34</v>
      </c>
      <c r="F3088" t="str">
        <f>"0003387"</f>
        <v>0003387</v>
      </c>
      <c r="G3088">
        <v>1</v>
      </c>
      <c r="H3088" t="str">
        <f>"00000000"</f>
        <v>00000000</v>
      </c>
      <c r="I3088" t="s">
        <v>35</v>
      </c>
      <c r="J3088"/>
      <c r="K3088">
        <v>3.81</v>
      </c>
      <c r="L3088">
        <v>0.0</v>
      </c>
      <c r="M3088"/>
      <c r="N3088"/>
      <c r="O3088">
        <v>0.69</v>
      </c>
      <c r="P3088">
        <v>0.0</v>
      </c>
      <c r="Q3088">
        <v>4.5</v>
      </c>
      <c r="R3088"/>
      <c r="S3088"/>
      <c r="T3088"/>
      <c r="U3088"/>
      <c r="V3088"/>
      <c r="W3088">
        <v>18</v>
      </c>
    </row>
    <row r="3089" spans="1:23">
      <c r="A3089"/>
      <c r="B3089" t="s">
        <v>82</v>
      </c>
      <c r="C3089" t="s">
        <v>82</v>
      </c>
      <c r="D3089" t="s">
        <v>33</v>
      </c>
      <c r="E3089" t="s">
        <v>34</v>
      </c>
      <c r="F3089" t="str">
        <f>"0003388"</f>
        <v>0003388</v>
      </c>
      <c r="G3089">
        <v>1</v>
      </c>
      <c r="H3089" t="str">
        <f>"00000000"</f>
        <v>00000000</v>
      </c>
      <c r="I3089" t="s">
        <v>35</v>
      </c>
      <c r="J3089"/>
      <c r="K3089">
        <v>62.5</v>
      </c>
      <c r="L3089">
        <v>21.57</v>
      </c>
      <c r="M3089"/>
      <c r="N3089"/>
      <c r="O3089">
        <v>11.25</v>
      </c>
      <c r="P3089">
        <v>0.0</v>
      </c>
      <c r="Q3089">
        <v>95.32</v>
      </c>
      <c r="R3089"/>
      <c r="S3089"/>
      <c r="T3089"/>
      <c r="U3089"/>
      <c r="V3089"/>
      <c r="W3089">
        <v>18</v>
      </c>
    </row>
    <row r="3090" spans="1:23">
      <c r="A3090"/>
      <c r="B3090" t="s">
        <v>82</v>
      </c>
      <c r="C3090" t="s">
        <v>82</v>
      </c>
      <c r="D3090" t="s">
        <v>33</v>
      </c>
      <c r="E3090" t="s">
        <v>34</v>
      </c>
      <c r="F3090" t="str">
        <f>"0003389"</f>
        <v>0003389</v>
      </c>
      <c r="G3090">
        <v>1</v>
      </c>
      <c r="H3090" t="str">
        <f>"00000000"</f>
        <v>00000000</v>
      </c>
      <c r="I3090" t="s">
        <v>35</v>
      </c>
      <c r="J3090"/>
      <c r="K3090">
        <v>4.24</v>
      </c>
      <c r="L3090">
        <v>0.0</v>
      </c>
      <c r="M3090"/>
      <c r="N3090"/>
      <c r="O3090">
        <v>0.76</v>
      </c>
      <c r="P3090">
        <v>0.0</v>
      </c>
      <c r="Q3090">
        <v>5.0</v>
      </c>
      <c r="R3090"/>
      <c r="S3090"/>
      <c r="T3090"/>
      <c r="U3090"/>
      <c r="V3090"/>
      <c r="W3090">
        <v>18</v>
      </c>
    </row>
    <row r="3091" spans="1:23">
      <c r="A3091"/>
      <c r="B3091" t="s">
        <v>82</v>
      </c>
      <c r="C3091" t="s">
        <v>82</v>
      </c>
      <c r="D3091" t="s">
        <v>33</v>
      </c>
      <c r="E3091" t="s">
        <v>34</v>
      </c>
      <c r="F3091" t="str">
        <f>"0003390"</f>
        <v>0003390</v>
      </c>
      <c r="G3091">
        <v>1</v>
      </c>
      <c r="H3091" t="str">
        <f>"00000000"</f>
        <v>00000000</v>
      </c>
      <c r="I3091" t="s">
        <v>35</v>
      </c>
      <c r="J3091"/>
      <c r="K3091">
        <v>13.73</v>
      </c>
      <c r="L3091">
        <v>0.0</v>
      </c>
      <c r="M3091"/>
      <c r="N3091"/>
      <c r="O3091">
        <v>2.47</v>
      </c>
      <c r="P3091">
        <v>0.0</v>
      </c>
      <c r="Q3091">
        <v>16.2</v>
      </c>
      <c r="R3091"/>
      <c r="S3091"/>
      <c r="T3091"/>
      <c r="U3091"/>
      <c r="V3091"/>
      <c r="W3091">
        <v>18</v>
      </c>
    </row>
    <row r="3092" spans="1:23">
      <c r="A3092"/>
      <c r="B3092" t="s">
        <v>82</v>
      </c>
      <c r="C3092" t="s">
        <v>82</v>
      </c>
      <c r="D3092" t="s">
        <v>33</v>
      </c>
      <c r="E3092" t="s">
        <v>34</v>
      </c>
      <c r="F3092" t="str">
        <f>"0003391"</f>
        <v>0003391</v>
      </c>
      <c r="G3092">
        <v>1</v>
      </c>
      <c r="H3092" t="str">
        <f>"00000000"</f>
        <v>00000000</v>
      </c>
      <c r="I3092" t="s">
        <v>35</v>
      </c>
      <c r="J3092"/>
      <c r="K3092">
        <v>6.36</v>
      </c>
      <c r="L3092">
        <v>0.0</v>
      </c>
      <c r="M3092"/>
      <c r="N3092"/>
      <c r="O3092">
        <v>1.14</v>
      </c>
      <c r="P3092">
        <v>0.0</v>
      </c>
      <c r="Q3092">
        <v>7.5</v>
      </c>
      <c r="R3092"/>
      <c r="S3092"/>
      <c r="T3092"/>
      <c r="U3092"/>
      <c r="V3092"/>
      <c r="W3092">
        <v>18</v>
      </c>
    </row>
    <row r="3093" spans="1:23">
      <c r="A3093"/>
      <c r="B3093" t="s">
        <v>82</v>
      </c>
      <c r="C3093" t="s">
        <v>82</v>
      </c>
      <c r="D3093" t="s">
        <v>33</v>
      </c>
      <c r="E3093" t="s">
        <v>34</v>
      </c>
      <c r="F3093" t="str">
        <f>"0003392"</f>
        <v>0003392</v>
      </c>
      <c r="G3093">
        <v>1</v>
      </c>
      <c r="H3093" t="str">
        <f>"00000000"</f>
        <v>00000000</v>
      </c>
      <c r="I3093" t="s">
        <v>35</v>
      </c>
      <c r="J3093"/>
      <c r="K3093">
        <v>1.73</v>
      </c>
      <c r="L3093">
        <v>4.72</v>
      </c>
      <c r="M3093"/>
      <c r="N3093"/>
      <c r="O3093">
        <v>0.31</v>
      </c>
      <c r="P3093">
        <v>0.2</v>
      </c>
      <c r="Q3093">
        <v>6.97</v>
      </c>
      <c r="R3093"/>
      <c r="S3093"/>
      <c r="T3093"/>
      <c r="U3093"/>
      <c r="V3093"/>
      <c r="W3093">
        <v>18</v>
      </c>
    </row>
    <row r="3094" spans="1:23">
      <c r="A3094"/>
      <c r="B3094" t="s">
        <v>82</v>
      </c>
      <c r="C3094" t="s">
        <v>82</v>
      </c>
      <c r="D3094" t="s">
        <v>33</v>
      </c>
      <c r="E3094" t="s">
        <v>34</v>
      </c>
      <c r="F3094" t="str">
        <f>"0003393"</f>
        <v>0003393</v>
      </c>
      <c r="G3094">
        <v>1</v>
      </c>
      <c r="H3094" t="str">
        <f>"00000000"</f>
        <v>00000000</v>
      </c>
      <c r="I3094" t="s">
        <v>35</v>
      </c>
      <c r="J3094"/>
      <c r="K3094">
        <v>50.34</v>
      </c>
      <c r="L3094">
        <v>0.0</v>
      </c>
      <c r="M3094"/>
      <c r="N3094"/>
      <c r="O3094">
        <v>9.06</v>
      </c>
      <c r="P3094">
        <v>0.2</v>
      </c>
      <c r="Q3094">
        <v>59.6</v>
      </c>
      <c r="R3094"/>
      <c r="S3094"/>
      <c r="T3094"/>
      <c r="U3094"/>
      <c r="V3094"/>
      <c r="W3094">
        <v>18</v>
      </c>
    </row>
    <row r="3095" spans="1:23">
      <c r="A3095"/>
      <c r="B3095" t="s">
        <v>82</v>
      </c>
      <c r="C3095" t="s">
        <v>82</v>
      </c>
      <c r="D3095" t="s">
        <v>33</v>
      </c>
      <c r="E3095" t="s">
        <v>34</v>
      </c>
      <c r="F3095" t="str">
        <f>"0003394"</f>
        <v>0003394</v>
      </c>
      <c r="G3095">
        <v>1</v>
      </c>
      <c r="H3095" t="str">
        <f>"00000000"</f>
        <v>00000000</v>
      </c>
      <c r="I3095" t="s">
        <v>35</v>
      </c>
      <c r="J3095"/>
      <c r="K3095">
        <v>0.0</v>
      </c>
      <c r="L3095">
        <v>4.88</v>
      </c>
      <c r="M3095"/>
      <c r="N3095"/>
      <c r="O3095">
        <v>0.0</v>
      </c>
      <c r="P3095">
        <v>0.0</v>
      </c>
      <c r="Q3095">
        <v>4.88</v>
      </c>
      <c r="R3095"/>
      <c r="S3095"/>
      <c r="T3095"/>
      <c r="U3095"/>
      <c r="V3095"/>
      <c r="W3095">
        <v>18</v>
      </c>
    </row>
    <row r="3096" spans="1:23">
      <c r="A3096"/>
      <c r="B3096" t="s">
        <v>82</v>
      </c>
      <c r="C3096" t="s">
        <v>82</v>
      </c>
      <c r="D3096" t="s">
        <v>33</v>
      </c>
      <c r="E3096" t="s">
        <v>34</v>
      </c>
      <c r="F3096" t="str">
        <f>"0003395"</f>
        <v>0003395</v>
      </c>
      <c r="G3096">
        <v>1</v>
      </c>
      <c r="H3096" t="str">
        <f>"00000000"</f>
        <v>00000000</v>
      </c>
      <c r="I3096" t="s">
        <v>35</v>
      </c>
      <c r="J3096"/>
      <c r="K3096">
        <v>12.31</v>
      </c>
      <c r="L3096">
        <v>0.0</v>
      </c>
      <c r="M3096"/>
      <c r="N3096"/>
      <c r="O3096">
        <v>2.21</v>
      </c>
      <c r="P3096">
        <v>0.2</v>
      </c>
      <c r="Q3096">
        <v>14.72</v>
      </c>
      <c r="R3096"/>
      <c r="S3096"/>
      <c r="T3096"/>
      <c r="U3096"/>
      <c r="V3096"/>
      <c r="W3096">
        <v>18</v>
      </c>
    </row>
    <row r="3097" spans="1:23">
      <c r="A3097"/>
      <c r="B3097" t="s">
        <v>82</v>
      </c>
      <c r="C3097" t="s">
        <v>82</v>
      </c>
      <c r="D3097" t="s">
        <v>33</v>
      </c>
      <c r="E3097" t="s">
        <v>34</v>
      </c>
      <c r="F3097" t="str">
        <f>"0003396"</f>
        <v>0003396</v>
      </c>
      <c r="G3097">
        <v>1</v>
      </c>
      <c r="H3097" t="str">
        <f>"00000000"</f>
        <v>00000000</v>
      </c>
      <c r="I3097" t="s">
        <v>35</v>
      </c>
      <c r="J3097"/>
      <c r="K3097">
        <v>11.97</v>
      </c>
      <c r="L3097">
        <v>0.0</v>
      </c>
      <c r="M3097"/>
      <c r="N3097"/>
      <c r="O3097">
        <v>2.15</v>
      </c>
      <c r="P3097">
        <v>0.2</v>
      </c>
      <c r="Q3097">
        <v>14.32</v>
      </c>
      <c r="R3097"/>
      <c r="S3097"/>
      <c r="T3097"/>
      <c r="U3097"/>
      <c r="V3097"/>
      <c r="W3097">
        <v>18</v>
      </c>
    </row>
    <row r="3098" spans="1:23">
      <c r="A3098"/>
      <c r="B3098" t="s">
        <v>82</v>
      </c>
      <c r="C3098" t="s">
        <v>82</v>
      </c>
      <c r="D3098" t="s">
        <v>33</v>
      </c>
      <c r="E3098" t="s">
        <v>34</v>
      </c>
      <c r="F3098" t="str">
        <f>"0003397"</f>
        <v>0003397</v>
      </c>
      <c r="G3098">
        <v>1</v>
      </c>
      <c r="H3098" t="str">
        <f>"00000000"</f>
        <v>00000000</v>
      </c>
      <c r="I3098" t="s">
        <v>35</v>
      </c>
      <c r="J3098"/>
      <c r="K3098">
        <v>0.0</v>
      </c>
      <c r="L3098">
        <v>8.95</v>
      </c>
      <c r="M3098"/>
      <c r="N3098"/>
      <c r="O3098">
        <v>0.0</v>
      </c>
      <c r="P3098">
        <v>0.0</v>
      </c>
      <c r="Q3098">
        <v>8.95</v>
      </c>
      <c r="R3098"/>
      <c r="S3098"/>
      <c r="T3098"/>
      <c r="U3098"/>
      <c r="V3098"/>
      <c r="W3098">
        <v>18</v>
      </c>
    </row>
    <row r="3099" spans="1:23">
      <c r="A3099"/>
      <c r="B3099" t="s">
        <v>82</v>
      </c>
      <c r="C3099" t="s">
        <v>82</v>
      </c>
      <c r="D3099" t="s">
        <v>33</v>
      </c>
      <c r="E3099" t="s">
        <v>34</v>
      </c>
      <c r="F3099" t="str">
        <f>"0003398"</f>
        <v>0003398</v>
      </c>
      <c r="G3099">
        <v>1</v>
      </c>
      <c r="H3099" t="str">
        <f>"00000000"</f>
        <v>00000000</v>
      </c>
      <c r="I3099" t="s">
        <v>35</v>
      </c>
      <c r="J3099"/>
      <c r="K3099">
        <v>3.64</v>
      </c>
      <c r="L3099">
        <v>1.78</v>
      </c>
      <c r="M3099"/>
      <c r="N3099"/>
      <c r="O3099">
        <v>0.66</v>
      </c>
      <c r="P3099">
        <v>0.0</v>
      </c>
      <c r="Q3099">
        <v>6.08</v>
      </c>
      <c r="R3099"/>
      <c r="S3099"/>
      <c r="T3099"/>
      <c r="U3099"/>
      <c r="V3099"/>
      <c r="W3099">
        <v>18</v>
      </c>
    </row>
    <row r="3100" spans="1:23">
      <c r="A3100"/>
      <c r="B3100" t="s">
        <v>82</v>
      </c>
      <c r="C3100" t="s">
        <v>82</v>
      </c>
      <c r="D3100" t="s">
        <v>33</v>
      </c>
      <c r="E3100" t="s">
        <v>34</v>
      </c>
      <c r="F3100" t="str">
        <f>"0003399"</f>
        <v>0003399</v>
      </c>
      <c r="G3100">
        <v>1</v>
      </c>
      <c r="H3100" t="str">
        <f>"00000000"</f>
        <v>00000000</v>
      </c>
      <c r="I3100" t="s">
        <v>35</v>
      </c>
      <c r="J3100"/>
      <c r="K3100">
        <v>6.54</v>
      </c>
      <c r="L3100">
        <v>0.0</v>
      </c>
      <c r="M3100"/>
      <c r="N3100"/>
      <c r="O3100">
        <v>1.18</v>
      </c>
      <c r="P3100">
        <v>0.0</v>
      </c>
      <c r="Q3100">
        <v>7.72</v>
      </c>
      <c r="R3100"/>
      <c r="S3100"/>
      <c r="T3100"/>
      <c r="U3100"/>
      <c r="V3100"/>
      <c r="W3100">
        <v>18</v>
      </c>
    </row>
    <row r="3101" spans="1:23">
      <c r="A3101"/>
      <c r="B3101" t="s">
        <v>82</v>
      </c>
      <c r="C3101" t="s">
        <v>82</v>
      </c>
      <c r="D3101" t="s">
        <v>33</v>
      </c>
      <c r="E3101" t="s">
        <v>34</v>
      </c>
      <c r="F3101" t="str">
        <f>"0003400"</f>
        <v>0003400</v>
      </c>
      <c r="G3101">
        <v>1</v>
      </c>
      <c r="H3101" t="str">
        <f>"00000000"</f>
        <v>00000000</v>
      </c>
      <c r="I3101" t="s">
        <v>35</v>
      </c>
      <c r="J3101"/>
      <c r="K3101">
        <v>2.97</v>
      </c>
      <c r="L3101">
        <v>0.0</v>
      </c>
      <c r="M3101"/>
      <c r="N3101"/>
      <c r="O3101">
        <v>0.53</v>
      </c>
      <c r="P3101">
        <v>0.0</v>
      </c>
      <c r="Q3101">
        <v>3.5</v>
      </c>
      <c r="R3101"/>
      <c r="S3101"/>
      <c r="T3101"/>
      <c r="U3101"/>
      <c r="V3101"/>
      <c r="W3101">
        <v>18</v>
      </c>
    </row>
    <row r="3102" spans="1:23">
      <c r="A3102"/>
      <c r="B3102" t="s">
        <v>82</v>
      </c>
      <c r="C3102" t="s">
        <v>82</v>
      </c>
      <c r="D3102" t="s">
        <v>33</v>
      </c>
      <c r="E3102" t="s">
        <v>34</v>
      </c>
      <c r="F3102" t="str">
        <f>"0003401"</f>
        <v>0003401</v>
      </c>
      <c r="G3102">
        <v>1</v>
      </c>
      <c r="H3102" t="str">
        <f>"00000000"</f>
        <v>00000000</v>
      </c>
      <c r="I3102" t="s">
        <v>35</v>
      </c>
      <c r="J3102"/>
      <c r="K3102">
        <v>0.0</v>
      </c>
      <c r="L3102">
        <v>8.48</v>
      </c>
      <c r="M3102"/>
      <c r="N3102"/>
      <c r="O3102">
        <v>0.0</v>
      </c>
      <c r="P3102">
        <v>0.0</v>
      </c>
      <c r="Q3102">
        <v>8.48</v>
      </c>
      <c r="R3102"/>
      <c r="S3102"/>
      <c r="T3102"/>
      <c r="U3102"/>
      <c r="V3102"/>
      <c r="W3102">
        <v>18</v>
      </c>
    </row>
    <row r="3103" spans="1:23">
      <c r="A3103"/>
      <c r="B3103" t="s">
        <v>82</v>
      </c>
      <c r="C3103" t="s">
        <v>82</v>
      </c>
      <c r="D3103" t="s">
        <v>33</v>
      </c>
      <c r="E3103" t="s">
        <v>34</v>
      </c>
      <c r="F3103" t="str">
        <f>"0003402"</f>
        <v>0003402</v>
      </c>
      <c r="G3103">
        <v>1</v>
      </c>
      <c r="H3103" t="str">
        <f>"00000000"</f>
        <v>00000000</v>
      </c>
      <c r="I3103" t="s">
        <v>35</v>
      </c>
      <c r="J3103"/>
      <c r="K3103">
        <v>15.19</v>
      </c>
      <c r="L3103">
        <v>1.02</v>
      </c>
      <c r="M3103"/>
      <c r="N3103"/>
      <c r="O3103">
        <v>2.73</v>
      </c>
      <c r="P3103">
        <v>0.0</v>
      </c>
      <c r="Q3103">
        <v>18.95</v>
      </c>
      <c r="R3103"/>
      <c r="S3103"/>
      <c r="T3103"/>
      <c r="U3103"/>
      <c r="V3103"/>
      <c r="W3103">
        <v>18</v>
      </c>
    </row>
    <row r="3104" spans="1:23">
      <c r="A3104"/>
      <c r="B3104" t="s">
        <v>82</v>
      </c>
      <c r="C3104" t="s">
        <v>82</v>
      </c>
      <c r="D3104" t="s">
        <v>33</v>
      </c>
      <c r="E3104" t="s">
        <v>34</v>
      </c>
      <c r="F3104" t="str">
        <f>"0003403"</f>
        <v>0003403</v>
      </c>
      <c r="G3104">
        <v>1</v>
      </c>
      <c r="H3104" t="str">
        <f>"00000000"</f>
        <v>00000000</v>
      </c>
      <c r="I3104" t="s">
        <v>35</v>
      </c>
      <c r="J3104"/>
      <c r="K3104">
        <v>40.43</v>
      </c>
      <c r="L3104">
        <v>0.0</v>
      </c>
      <c r="M3104"/>
      <c r="N3104"/>
      <c r="O3104">
        <v>7.28</v>
      </c>
      <c r="P3104">
        <v>0.2</v>
      </c>
      <c r="Q3104">
        <v>47.91</v>
      </c>
      <c r="R3104"/>
      <c r="S3104"/>
      <c r="T3104"/>
      <c r="U3104"/>
      <c r="V3104"/>
      <c r="W3104">
        <v>18</v>
      </c>
    </row>
    <row r="3105" spans="1:23">
      <c r="A3105"/>
      <c r="B3105" t="s">
        <v>82</v>
      </c>
      <c r="C3105" t="s">
        <v>82</v>
      </c>
      <c r="D3105" t="s">
        <v>33</v>
      </c>
      <c r="E3105" t="s">
        <v>34</v>
      </c>
      <c r="F3105" t="str">
        <f>"0003404"</f>
        <v>0003404</v>
      </c>
      <c r="G3105">
        <v>1</v>
      </c>
      <c r="H3105" t="str">
        <f>"00000000"</f>
        <v>00000000</v>
      </c>
      <c r="I3105" t="s">
        <v>35</v>
      </c>
      <c r="J3105"/>
      <c r="K3105">
        <v>2.97</v>
      </c>
      <c r="L3105">
        <v>0.0</v>
      </c>
      <c r="M3105"/>
      <c r="N3105"/>
      <c r="O3105">
        <v>0.53</v>
      </c>
      <c r="P3105">
        <v>0.0</v>
      </c>
      <c r="Q3105">
        <v>3.5</v>
      </c>
      <c r="R3105"/>
      <c r="S3105"/>
      <c r="T3105"/>
      <c r="U3105"/>
      <c r="V3105"/>
      <c r="W3105">
        <v>18</v>
      </c>
    </row>
    <row r="3106" spans="1:23">
      <c r="A3106"/>
      <c r="B3106" t="s">
        <v>82</v>
      </c>
      <c r="C3106" t="s">
        <v>82</v>
      </c>
      <c r="D3106" t="s">
        <v>33</v>
      </c>
      <c r="E3106" t="s">
        <v>34</v>
      </c>
      <c r="F3106" t="str">
        <f>"0003405"</f>
        <v>0003405</v>
      </c>
      <c r="G3106">
        <v>1</v>
      </c>
      <c r="H3106" t="str">
        <f>"00000000"</f>
        <v>00000000</v>
      </c>
      <c r="I3106" t="s">
        <v>35</v>
      </c>
      <c r="J3106"/>
      <c r="K3106">
        <v>13.98</v>
      </c>
      <c r="L3106">
        <v>0.0</v>
      </c>
      <c r="M3106"/>
      <c r="N3106"/>
      <c r="O3106">
        <v>2.52</v>
      </c>
      <c r="P3106">
        <v>0.0</v>
      </c>
      <c r="Q3106">
        <v>16.5</v>
      </c>
      <c r="R3106"/>
      <c r="S3106"/>
      <c r="T3106"/>
      <c r="U3106"/>
      <c r="V3106"/>
      <c r="W3106">
        <v>18</v>
      </c>
    </row>
    <row r="3107" spans="1:23">
      <c r="A3107"/>
      <c r="B3107" t="s">
        <v>82</v>
      </c>
      <c r="C3107" t="s">
        <v>82</v>
      </c>
      <c r="D3107" t="s">
        <v>33</v>
      </c>
      <c r="E3107" t="s">
        <v>34</v>
      </c>
      <c r="F3107" t="str">
        <f>"0003406"</f>
        <v>0003406</v>
      </c>
      <c r="G3107">
        <v>1</v>
      </c>
      <c r="H3107" t="str">
        <f>"00000000"</f>
        <v>00000000</v>
      </c>
      <c r="I3107" t="s">
        <v>35</v>
      </c>
      <c r="J3107"/>
      <c r="K3107">
        <v>43.88</v>
      </c>
      <c r="L3107">
        <v>0.0</v>
      </c>
      <c r="M3107"/>
      <c r="N3107"/>
      <c r="O3107">
        <v>7.9</v>
      </c>
      <c r="P3107">
        <v>0.0</v>
      </c>
      <c r="Q3107">
        <v>51.78</v>
      </c>
      <c r="R3107"/>
      <c r="S3107"/>
      <c r="T3107"/>
      <c r="U3107"/>
      <c r="V3107"/>
      <c r="W3107">
        <v>18</v>
      </c>
    </row>
    <row r="3108" spans="1:23">
      <c r="A3108"/>
      <c r="B3108" t="s">
        <v>82</v>
      </c>
      <c r="C3108" t="s">
        <v>82</v>
      </c>
      <c r="D3108" t="s">
        <v>33</v>
      </c>
      <c r="E3108" t="s">
        <v>34</v>
      </c>
      <c r="F3108" t="str">
        <f>"0003407"</f>
        <v>0003407</v>
      </c>
      <c r="G3108">
        <v>1</v>
      </c>
      <c r="H3108" t="str">
        <f>"00000000"</f>
        <v>00000000</v>
      </c>
      <c r="I3108" t="s">
        <v>35</v>
      </c>
      <c r="J3108"/>
      <c r="K3108">
        <v>1.02</v>
      </c>
      <c r="L3108">
        <v>0.0</v>
      </c>
      <c r="M3108"/>
      <c r="N3108"/>
      <c r="O3108">
        <v>0.18</v>
      </c>
      <c r="P3108">
        <v>0.0</v>
      </c>
      <c r="Q3108">
        <v>1.2</v>
      </c>
      <c r="R3108"/>
      <c r="S3108"/>
      <c r="T3108"/>
      <c r="U3108"/>
      <c r="V3108"/>
      <c r="W3108">
        <v>18</v>
      </c>
    </row>
    <row r="3109" spans="1:23">
      <c r="A3109"/>
      <c r="B3109" t="s">
        <v>82</v>
      </c>
      <c r="C3109" t="s">
        <v>82</v>
      </c>
      <c r="D3109" t="s">
        <v>33</v>
      </c>
      <c r="E3109" t="s">
        <v>34</v>
      </c>
      <c r="F3109" t="str">
        <f>"0003408"</f>
        <v>0003408</v>
      </c>
      <c r="G3109">
        <v>1</v>
      </c>
      <c r="H3109" t="str">
        <f>"00000000"</f>
        <v>00000000</v>
      </c>
      <c r="I3109" t="s">
        <v>35</v>
      </c>
      <c r="J3109"/>
      <c r="K3109">
        <v>10.33</v>
      </c>
      <c r="L3109">
        <v>0.32</v>
      </c>
      <c r="M3109"/>
      <c r="N3109"/>
      <c r="O3109">
        <v>1.86</v>
      </c>
      <c r="P3109">
        <v>0.0</v>
      </c>
      <c r="Q3109">
        <v>12.52</v>
      </c>
      <c r="R3109"/>
      <c r="S3109"/>
      <c r="T3109"/>
      <c r="U3109"/>
      <c r="V3109"/>
      <c r="W3109">
        <v>18</v>
      </c>
    </row>
    <row r="3110" spans="1:23">
      <c r="A3110"/>
      <c r="B3110" t="s">
        <v>82</v>
      </c>
      <c r="C3110" t="s">
        <v>82</v>
      </c>
      <c r="D3110" t="s">
        <v>33</v>
      </c>
      <c r="E3110" t="s">
        <v>34</v>
      </c>
      <c r="F3110" t="str">
        <f>"0003409"</f>
        <v>0003409</v>
      </c>
      <c r="G3110">
        <v>1</v>
      </c>
      <c r="H3110" t="str">
        <f>"00000000"</f>
        <v>00000000</v>
      </c>
      <c r="I3110" t="s">
        <v>35</v>
      </c>
      <c r="J3110"/>
      <c r="K3110">
        <v>12.29</v>
      </c>
      <c r="L3110">
        <v>0.0</v>
      </c>
      <c r="M3110"/>
      <c r="N3110"/>
      <c r="O3110">
        <v>2.21</v>
      </c>
      <c r="P3110">
        <v>0.0</v>
      </c>
      <c r="Q3110">
        <v>14.5</v>
      </c>
      <c r="R3110"/>
      <c r="S3110"/>
      <c r="T3110"/>
      <c r="U3110"/>
      <c r="V3110"/>
      <c r="W3110">
        <v>18</v>
      </c>
    </row>
    <row r="3111" spans="1:23">
      <c r="A3111"/>
      <c r="B3111" t="s">
        <v>82</v>
      </c>
      <c r="C3111" t="s">
        <v>82</v>
      </c>
      <c r="D3111" t="s">
        <v>33</v>
      </c>
      <c r="E3111" t="s">
        <v>34</v>
      </c>
      <c r="F3111" t="str">
        <f>"0003410"</f>
        <v>0003410</v>
      </c>
      <c r="G3111">
        <v>1</v>
      </c>
      <c r="H3111" t="str">
        <f>"00000000"</f>
        <v>00000000</v>
      </c>
      <c r="I3111" t="s">
        <v>35</v>
      </c>
      <c r="J3111"/>
      <c r="K3111">
        <v>4.41</v>
      </c>
      <c r="L3111">
        <v>0.0</v>
      </c>
      <c r="M3111"/>
      <c r="N3111"/>
      <c r="O3111">
        <v>0.79</v>
      </c>
      <c r="P3111">
        <v>0.0</v>
      </c>
      <c r="Q3111">
        <v>5.2</v>
      </c>
      <c r="R3111"/>
      <c r="S3111"/>
      <c r="T3111"/>
      <c r="U3111"/>
      <c r="V3111"/>
      <c r="W3111">
        <v>18</v>
      </c>
    </row>
    <row r="3112" spans="1:23">
      <c r="A3112"/>
      <c r="B3112" t="s">
        <v>82</v>
      </c>
      <c r="C3112" t="s">
        <v>82</v>
      </c>
      <c r="D3112" t="s">
        <v>33</v>
      </c>
      <c r="E3112" t="s">
        <v>34</v>
      </c>
      <c r="F3112" t="str">
        <f>"0003411"</f>
        <v>0003411</v>
      </c>
      <c r="G3112">
        <v>1</v>
      </c>
      <c r="H3112" t="str">
        <f>"00000000"</f>
        <v>00000000</v>
      </c>
      <c r="I3112" t="s">
        <v>35</v>
      </c>
      <c r="J3112"/>
      <c r="K3112">
        <v>24.12</v>
      </c>
      <c r="L3112">
        <v>0.0</v>
      </c>
      <c r="M3112"/>
      <c r="N3112"/>
      <c r="O3112">
        <v>4.34</v>
      </c>
      <c r="P3112">
        <v>0.2</v>
      </c>
      <c r="Q3112">
        <v>28.66</v>
      </c>
      <c r="R3112"/>
      <c r="S3112"/>
      <c r="T3112"/>
      <c r="U3112"/>
      <c r="V3112"/>
      <c r="W3112">
        <v>18</v>
      </c>
    </row>
    <row r="3113" spans="1:23">
      <c r="A3113"/>
      <c r="B3113" t="s">
        <v>82</v>
      </c>
      <c r="C3113" t="s">
        <v>82</v>
      </c>
      <c r="D3113" t="s">
        <v>33</v>
      </c>
      <c r="E3113" t="s">
        <v>34</v>
      </c>
      <c r="F3113" t="str">
        <f>"0003412"</f>
        <v>0003412</v>
      </c>
      <c r="G3113">
        <v>1</v>
      </c>
      <c r="H3113" t="str">
        <f>"00000000"</f>
        <v>00000000</v>
      </c>
      <c r="I3113" t="s">
        <v>35</v>
      </c>
      <c r="J3113"/>
      <c r="K3113">
        <v>2.97</v>
      </c>
      <c r="L3113">
        <v>2.2</v>
      </c>
      <c r="M3113"/>
      <c r="N3113"/>
      <c r="O3113">
        <v>0.53</v>
      </c>
      <c r="P3113">
        <v>0.0</v>
      </c>
      <c r="Q3113">
        <v>5.7</v>
      </c>
      <c r="R3113"/>
      <c r="S3113"/>
      <c r="T3113"/>
      <c r="U3113"/>
      <c r="V3113"/>
      <c r="W3113">
        <v>18</v>
      </c>
    </row>
    <row r="3114" spans="1:23">
      <c r="A3114"/>
      <c r="B3114" t="s">
        <v>82</v>
      </c>
      <c r="C3114" t="s">
        <v>82</v>
      </c>
      <c r="D3114" t="s">
        <v>33</v>
      </c>
      <c r="E3114" t="s">
        <v>34</v>
      </c>
      <c r="F3114" t="str">
        <f>"0003413"</f>
        <v>0003413</v>
      </c>
      <c r="G3114">
        <v>1</v>
      </c>
      <c r="H3114" t="str">
        <f>"00000000"</f>
        <v>00000000</v>
      </c>
      <c r="I3114" t="s">
        <v>35</v>
      </c>
      <c r="J3114"/>
      <c r="K3114">
        <v>12.71</v>
      </c>
      <c r="L3114">
        <v>6.1</v>
      </c>
      <c r="M3114"/>
      <c r="N3114"/>
      <c r="O3114">
        <v>2.29</v>
      </c>
      <c r="P3114">
        <v>0.2</v>
      </c>
      <c r="Q3114">
        <v>21.29</v>
      </c>
      <c r="R3114"/>
      <c r="S3114"/>
      <c r="T3114"/>
      <c r="U3114"/>
      <c r="V3114"/>
      <c r="W3114">
        <v>18</v>
      </c>
    </row>
    <row r="3115" spans="1:23">
      <c r="A3115"/>
      <c r="B3115" t="s">
        <v>82</v>
      </c>
      <c r="C3115" t="s">
        <v>82</v>
      </c>
      <c r="D3115" t="s">
        <v>33</v>
      </c>
      <c r="E3115" t="s">
        <v>34</v>
      </c>
      <c r="F3115" t="str">
        <f>"0003414"</f>
        <v>0003414</v>
      </c>
      <c r="G3115">
        <v>1</v>
      </c>
      <c r="H3115" t="str">
        <f>"00000000"</f>
        <v>00000000</v>
      </c>
      <c r="I3115" t="s">
        <v>35</v>
      </c>
      <c r="J3115"/>
      <c r="K3115">
        <v>35.42</v>
      </c>
      <c r="L3115">
        <v>0.0</v>
      </c>
      <c r="M3115"/>
      <c r="N3115"/>
      <c r="O3115">
        <v>6.38</v>
      </c>
      <c r="P3115">
        <v>0.0</v>
      </c>
      <c r="Q3115">
        <v>41.8</v>
      </c>
      <c r="R3115"/>
      <c r="S3115"/>
      <c r="T3115"/>
      <c r="U3115"/>
      <c r="V3115"/>
      <c r="W3115">
        <v>18</v>
      </c>
    </row>
    <row r="3116" spans="1:23">
      <c r="A3116"/>
      <c r="B3116" t="s">
        <v>82</v>
      </c>
      <c r="C3116" t="s">
        <v>82</v>
      </c>
      <c r="D3116" t="s">
        <v>33</v>
      </c>
      <c r="E3116" t="s">
        <v>34</v>
      </c>
      <c r="F3116" t="str">
        <f>"0003415"</f>
        <v>0003415</v>
      </c>
      <c r="G3116">
        <v>1</v>
      </c>
      <c r="H3116" t="str">
        <f>"00000000"</f>
        <v>00000000</v>
      </c>
      <c r="I3116" t="s">
        <v>35</v>
      </c>
      <c r="J3116"/>
      <c r="K3116">
        <v>3.11</v>
      </c>
      <c r="L3116">
        <v>10.38</v>
      </c>
      <c r="M3116"/>
      <c r="N3116"/>
      <c r="O3116">
        <v>0.56</v>
      </c>
      <c r="P3116">
        <v>0.0</v>
      </c>
      <c r="Q3116">
        <v>14.05</v>
      </c>
      <c r="R3116"/>
      <c r="S3116"/>
      <c r="T3116"/>
      <c r="U3116"/>
      <c r="V3116"/>
      <c r="W3116">
        <v>18</v>
      </c>
    </row>
    <row r="3117" spans="1:23">
      <c r="A3117"/>
      <c r="B3117" t="s">
        <v>82</v>
      </c>
      <c r="C3117" t="s">
        <v>82</v>
      </c>
      <c r="D3117" t="s">
        <v>33</v>
      </c>
      <c r="E3117" t="s">
        <v>34</v>
      </c>
      <c r="F3117" t="str">
        <f>"0003416"</f>
        <v>0003416</v>
      </c>
      <c r="G3117">
        <v>1</v>
      </c>
      <c r="H3117" t="str">
        <f>"00000000"</f>
        <v>00000000</v>
      </c>
      <c r="I3117" t="s">
        <v>35</v>
      </c>
      <c r="J3117"/>
      <c r="K3117">
        <v>3.64</v>
      </c>
      <c r="L3117">
        <v>0.0</v>
      </c>
      <c r="M3117"/>
      <c r="N3117"/>
      <c r="O3117">
        <v>0.66</v>
      </c>
      <c r="P3117">
        <v>0.0</v>
      </c>
      <c r="Q3117">
        <v>4.3</v>
      </c>
      <c r="R3117"/>
      <c r="S3117"/>
      <c r="T3117"/>
      <c r="U3117"/>
      <c r="V3117"/>
      <c r="W3117">
        <v>18</v>
      </c>
    </row>
    <row r="3118" spans="1:23">
      <c r="A3118"/>
      <c r="B3118" t="s">
        <v>82</v>
      </c>
      <c r="C3118" t="s">
        <v>82</v>
      </c>
      <c r="D3118" t="s">
        <v>33</v>
      </c>
      <c r="E3118" t="s">
        <v>34</v>
      </c>
      <c r="F3118" t="str">
        <f>"0003417"</f>
        <v>0003417</v>
      </c>
      <c r="G3118">
        <v>1</v>
      </c>
      <c r="H3118" t="str">
        <f>"00000000"</f>
        <v>00000000</v>
      </c>
      <c r="I3118" t="s">
        <v>35</v>
      </c>
      <c r="J3118"/>
      <c r="K3118">
        <v>14.1</v>
      </c>
      <c r="L3118">
        <v>6.26</v>
      </c>
      <c r="M3118"/>
      <c r="N3118"/>
      <c r="O3118">
        <v>2.54</v>
      </c>
      <c r="P3118">
        <v>0.0</v>
      </c>
      <c r="Q3118">
        <v>22.9</v>
      </c>
      <c r="R3118"/>
      <c r="S3118"/>
      <c r="T3118"/>
      <c r="U3118"/>
      <c r="V3118"/>
      <c r="W3118">
        <v>18</v>
      </c>
    </row>
    <row r="3119" spans="1:23">
      <c r="A3119"/>
      <c r="B3119" t="s">
        <v>82</v>
      </c>
      <c r="C3119" t="s">
        <v>82</v>
      </c>
      <c r="D3119" t="s">
        <v>33</v>
      </c>
      <c r="E3119" t="s">
        <v>34</v>
      </c>
      <c r="F3119" t="str">
        <f>"0003418"</f>
        <v>0003418</v>
      </c>
      <c r="G3119">
        <v>1</v>
      </c>
      <c r="H3119" t="str">
        <f>"00000000"</f>
        <v>00000000</v>
      </c>
      <c r="I3119" t="s">
        <v>35</v>
      </c>
      <c r="J3119"/>
      <c r="K3119">
        <v>25.44</v>
      </c>
      <c r="L3119">
        <v>0.0</v>
      </c>
      <c r="M3119"/>
      <c r="N3119"/>
      <c r="O3119">
        <v>4.58</v>
      </c>
      <c r="P3119">
        <v>0.2</v>
      </c>
      <c r="Q3119">
        <v>30.22</v>
      </c>
      <c r="R3119"/>
      <c r="S3119"/>
      <c r="T3119"/>
      <c r="U3119"/>
      <c r="V3119"/>
      <c r="W3119">
        <v>18</v>
      </c>
    </row>
    <row r="3120" spans="1:23">
      <c r="A3120"/>
      <c r="B3120" t="s">
        <v>82</v>
      </c>
      <c r="C3120" t="s">
        <v>82</v>
      </c>
      <c r="D3120" t="s">
        <v>33</v>
      </c>
      <c r="E3120" t="s">
        <v>34</v>
      </c>
      <c r="F3120" t="str">
        <f>"0003419"</f>
        <v>0003419</v>
      </c>
      <c r="G3120">
        <v>1</v>
      </c>
      <c r="H3120" t="str">
        <f>"00000000"</f>
        <v>00000000</v>
      </c>
      <c r="I3120" t="s">
        <v>35</v>
      </c>
      <c r="J3120"/>
      <c r="K3120">
        <v>59.29</v>
      </c>
      <c r="L3120">
        <v>0.0</v>
      </c>
      <c r="M3120"/>
      <c r="N3120"/>
      <c r="O3120">
        <v>10.67</v>
      </c>
      <c r="P3120">
        <v>0.2</v>
      </c>
      <c r="Q3120">
        <v>70.16</v>
      </c>
      <c r="R3120"/>
      <c r="S3120"/>
      <c r="T3120"/>
      <c r="U3120"/>
      <c r="V3120"/>
      <c r="W3120">
        <v>18</v>
      </c>
    </row>
    <row r="3121" spans="1:23">
      <c r="A3121"/>
      <c r="B3121" t="s">
        <v>82</v>
      </c>
      <c r="C3121" t="s">
        <v>82</v>
      </c>
      <c r="D3121" t="s">
        <v>33</v>
      </c>
      <c r="E3121" t="s">
        <v>34</v>
      </c>
      <c r="F3121" t="str">
        <f>"0003420"</f>
        <v>0003420</v>
      </c>
      <c r="G3121">
        <v>1</v>
      </c>
      <c r="H3121" t="str">
        <f>"00000000"</f>
        <v>00000000</v>
      </c>
      <c r="I3121" t="s">
        <v>35</v>
      </c>
      <c r="J3121"/>
      <c r="K3121">
        <v>2.12</v>
      </c>
      <c r="L3121">
        <v>0.0</v>
      </c>
      <c r="M3121"/>
      <c r="N3121"/>
      <c r="O3121">
        <v>0.38</v>
      </c>
      <c r="P3121">
        <v>0.0</v>
      </c>
      <c r="Q3121">
        <v>2.5</v>
      </c>
      <c r="R3121"/>
      <c r="S3121"/>
      <c r="T3121"/>
      <c r="U3121"/>
      <c r="V3121"/>
      <c r="W3121">
        <v>18</v>
      </c>
    </row>
    <row r="3122" spans="1:23">
      <c r="A3122"/>
      <c r="B3122" t="s">
        <v>82</v>
      </c>
      <c r="C3122" t="s">
        <v>82</v>
      </c>
      <c r="D3122" t="s">
        <v>33</v>
      </c>
      <c r="E3122" t="s">
        <v>34</v>
      </c>
      <c r="F3122" t="str">
        <f>"0003421"</f>
        <v>0003421</v>
      </c>
      <c r="G3122">
        <v>1</v>
      </c>
      <c r="H3122" t="str">
        <f>"00000000"</f>
        <v>00000000</v>
      </c>
      <c r="I3122" t="s">
        <v>35</v>
      </c>
      <c r="J3122"/>
      <c r="K3122">
        <v>4.08</v>
      </c>
      <c r="L3122">
        <v>0.0</v>
      </c>
      <c r="M3122"/>
      <c r="N3122"/>
      <c r="O3122">
        <v>0.74</v>
      </c>
      <c r="P3122">
        <v>0.2</v>
      </c>
      <c r="Q3122">
        <v>5.02</v>
      </c>
      <c r="R3122"/>
      <c r="S3122"/>
      <c r="T3122"/>
      <c r="U3122"/>
      <c r="V3122"/>
      <c r="W3122">
        <v>18</v>
      </c>
    </row>
    <row r="3123" spans="1:23">
      <c r="A3123"/>
      <c r="B3123" t="s">
        <v>82</v>
      </c>
      <c r="C3123" t="s">
        <v>82</v>
      </c>
      <c r="D3123" t="s">
        <v>33</v>
      </c>
      <c r="E3123" t="s">
        <v>34</v>
      </c>
      <c r="F3123" t="str">
        <f>"0003422"</f>
        <v>0003422</v>
      </c>
      <c r="G3123">
        <v>1</v>
      </c>
      <c r="H3123" t="str">
        <f>"00000000"</f>
        <v>00000000</v>
      </c>
      <c r="I3123" t="s">
        <v>35</v>
      </c>
      <c r="J3123"/>
      <c r="K3123">
        <v>0.0</v>
      </c>
      <c r="L3123">
        <v>2.9</v>
      </c>
      <c r="M3123"/>
      <c r="N3123"/>
      <c r="O3123">
        <v>0.0</v>
      </c>
      <c r="P3123">
        <v>0.0</v>
      </c>
      <c r="Q3123">
        <v>2.9</v>
      </c>
      <c r="R3123"/>
      <c r="S3123"/>
      <c r="T3123"/>
      <c r="U3123"/>
      <c r="V3123"/>
      <c r="W3123">
        <v>18</v>
      </c>
    </row>
    <row r="3124" spans="1:23">
      <c r="A3124"/>
      <c r="B3124" t="s">
        <v>82</v>
      </c>
      <c r="C3124" t="s">
        <v>82</v>
      </c>
      <c r="D3124" t="s">
        <v>33</v>
      </c>
      <c r="E3124" t="s">
        <v>34</v>
      </c>
      <c r="F3124" t="str">
        <f>"0003423"</f>
        <v>0003423</v>
      </c>
      <c r="G3124">
        <v>1</v>
      </c>
      <c r="H3124" t="str">
        <f>"00000000"</f>
        <v>00000000</v>
      </c>
      <c r="I3124" t="s">
        <v>35</v>
      </c>
      <c r="J3124"/>
      <c r="K3124">
        <v>5.08</v>
      </c>
      <c r="L3124">
        <v>0.0</v>
      </c>
      <c r="M3124"/>
      <c r="N3124"/>
      <c r="O3124">
        <v>0.92</v>
      </c>
      <c r="P3124">
        <v>0.0</v>
      </c>
      <c r="Q3124">
        <v>6.0</v>
      </c>
      <c r="R3124"/>
      <c r="S3124"/>
      <c r="T3124"/>
      <c r="U3124"/>
      <c r="V3124"/>
      <c r="W3124">
        <v>18</v>
      </c>
    </row>
    <row r="3125" spans="1:23">
      <c r="A3125"/>
      <c r="B3125" t="s">
        <v>82</v>
      </c>
      <c r="C3125" t="s">
        <v>82</v>
      </c>
      <c r="D3125" t="s">
        <v>33</v>
      </c>
      <c r="E3125" t="s">
        <v>34</v>
      </c>
      <c r="F3125" t="str">
        <f>"0003424"</f>
        <v>0003424</v>
      </c>
      <c r="G3125">
        <v>1</v>
      </c>
      <c r="H3125" t="str">
        <f>"00000000"</f>
        <v>00000000</v>
      </c>
      <c r="I3125" t="s">
        <v>35</v>
      </c>
      <c r="J3125"/>
      <c r="K3125">
        <v>51.71</v>
      </c>
      <c r="L3125">
        <v>0.0</v>
      </c>
      <c r="M3125"/>
      <c r="N3125"/>
      <c r="O3125">
        <v>9.31</v>
      </c>
      <c r="P3125">
        <v>0.2</v>
      </c>
      <c r="Q3125">
        <v>61.22</v>
      </c>
      <c r="R3125"/>
      <c r="S3125"/>
      <c r="T3125"/>
      <c r="U3125"/>
      <c r="V3125"/>
      <c r="W3125">
        <v>18</v>
      </c>
    </row>
    <row r="3126" spans="1:23">
      <c r="A3126"/>
      <c r="B3126" t="s">
        <v>82</v>
      </c>
      <c r="C3126" t="s">
        <v>82</v>
      </c>
      <c r="D3126" t="s">
        <v>33</v>
      </c>
      <c r="E3126" t="s">
        <v>34</v>
      </c>
      <c r="F3126" t="str">
        <f>"0003425"</f>
        <v>0003425</v>
      </c>
      <c r="G3126">
        <v>1</v>
      </c>
      <c r="H3126" t="str">
        <f>"00000000"</f>
        <v>00000000</v>
      </c>
      <c r="I3126" t="s">
        <v>35</v>
      </c>
      <c r="J3126"/>
      <c r="K3126">
        <v>4.24</v>
      </c>
      <c r="L3126">
        <v>0.0</v>
      </c>
      <c r="M3126"/>
      <c r="N3126"/>
      <c r="O3126">
        <v>0.76</v>
      </c>
      <c r="P3126">
        <v>0.0</v>
      </c>
      <c r="Q3126">
        <v>5.0</v>
      </c>
      <c r="R3126"/>
      <c r="S3126"/>
      <c r="T3126"/>
      <c r="U3126"/>
      <c r="V3126"/>
      <c r="W3126">
        <v>18</v>
      </c>
    </row>
    <row r="3127" spans="1:23">
      <c r="A3127"/>
      <c r="B3127" t="s">
        <v>82</v>
      </c>
      <c r="C3127" t="s">
        <v>82</v>
      </c>
      <c r="D3127" t="s">
        <v>33</v>
      </c>
      <c r="E3127" t="s">
        <v>34</v>
      </c>
      <c r="F3127" t="str">
        <f>"0003426"</f>
        <v>0003426</v>
      </c>
      <c r="G3127">
        <v>1</v>
      </c>
      <c r="H3127" t="str">
        <f>"00000000"</f>
        <v>00000000</v>
      </c>
      <c r="I3127" t="s">
        <v>35</v>
      </c>
      <c r="J3127"/>
      <c r="K3127">
        <v>5.34</v>
      </c>
      <c r="L3127">
        <v>0.0</v>
      </c>
      <c r="M3127"/>
      <c r="N3127"/>
      <c r="O3127">
        <v>0.96</v>
      </c>
      <c r="P3127">
        <v>0.0</v>
      </c>
      <c r="Q3127">
        <v>6.3</v>
      </c>
      <c r="R3127"/>
      <c r="S3127"/>
      <c r="T3127"/>
      <c r="U3127"/>
      <c r="V3127"/>
      <c r="W3127">
        <v>18</v>
      </c>
    </row>
    <row r="3128" spans="1:23">
      <c r="A3128"/>
      <c r="B3128" t="s">
        <v>82</v>
      </c>
      <c r="C3128" t="s">
        <v>82</v>
      </c>
      <c r="D3128" t="s">
        <v>33</v>
      </c>
      <c r="E3128" t="s">
        <v>34</v>
      </c>
      <c r="F3128" t="str">
        <f>"0003427"</f>
        <v>0003427</v>
      </c>
      <c r="G3128">
        <v>1</v>
      </c>
      <c r="H3128" t="str">
        <f>"00000000"</f>
        <v>00000000</v>
      </c>
      <c r="I3128" t="s">
        <v>35</v>
      </c>
      <c r="J3128"/>
      <c r="K3128">
        <v>15.06</v>
      </c>
      <c r="L3128">
        <v>11.98</v>
      </c>
      <c r="M3128"/>
      <c r="N3128"/>
      <c r="O3128">
        <v>2.71</v>
      </c>
      <c r="P3128">
        <v>0.0</v>
      </c>
      <c r="Q3128">
        <v>29.76</v>
      </c>
      <c r="R3128"/>
      <c r="S3128"/>
      <c r="T3128"/>
      <c r="U3128"/>
      <c r="V3128"/>
      <c r="W3128">
        <v>18</v>
      </c>
    </row>
    <row r="3129" spans="1:23">
      <c r="A3129"/>
      <c r="B3129" t="s">
        <v>82</v>
      </c>
      <c r="C3129" t="s">
        <v>82</v>
      </c>
      <c r="D3129" t="s">
        <v>33</v>
      </c>
      <c r="E3129" t="s">
        <v>34</v>
      </c>
      <c r="F3129" t="str">
        <f>"0003428"</f>
        <v>0003428</v>
      </c>
      <c r="G3129">
        <v>1</v>
      </c>
      <c r="H3129" t="str">
        <f>"00000000"</f>
        <v>00000000</v>
      </c>
      <c r="I3129" t="s">
        <v>35</v>
      </c>
      <c r="J3129"/>
      <c r="K3129">
        <v>19.12</v>
      </c>
      <c r="L3129">
        <v>0.0</v>
      </c>
      <c r="M3129"/>
      <c r="N3129"/>
      <c r="O3129">
        <v>3.44</v>
      </c>
      <c r="P3129">
        <v>0.0</v>
      </c>
      <c r="Q3129">
        <v>22.56</v>
      </c>
      <c r="R3129"/>
      <c r="S3129"/>
      <c r="T3129"/>
      <c r="U3129"/>
      <c r="V3129"/>
      <c r="W3129">
        <v>18</v>
      </c>
    </row>
    <row r="3130" spans="1:23">
      <c r="A3130"/>
      <c r="B3130" t="s">
        <v>82</v>
      </c>
      <c r="C3130" t="s">
        <v>82</v>
      </c>
      <c r="D3130" t="s">
        <v>33</v>
      </c>
      <c r="E3130" t="s">
        <v>34</v>
      </c>
      <c r="F3130" t="str">
        <f>"0003429"</f>
        <v>0003429</v>
      </c>
      <c r="G3130">
        <v>1</v>
      </c>
      <c r="H3130" t="str">
        <f>"00000000"</f>
        <v>00000000</v>
      </c>
      <c r="I3130" t="s">
        <v>35</v>
      </c>
      <c r="J3130"/>
      <c r="K3130">
        <v>21.11</v>
      </c>
      <c r="L3130">
        <v>0.0</v>
      </c>
      <c r="M3130"/>
      <c r="N3130"/>
      <c r="O3130">
        <v>3.8</v>
      </c>
      <c r="P3130">
        <v>0.2</v>
      </c>
      <c r="Q3130">
        <v>25.12</v>
      </c>
      <c r="R3130"/>
      <c r="S3130"/>
      <c r="T3130"/>
      <c r="U3130"/>
      <c r="V3130"/>
      <c r="W3130">
        <v>18</v>
      </c>
    </row>
    <row r="3131" spans="1:23">
      <c r="A3131"/>
      <c r="B3131" t="s">
        <v>82</v>
      </c>
      <c r="C3131" t="s">
        <v>82</v>
      </c>
      <c r="D3131" t="s">
        <v>33</v>
      </c>
      <c r="E3131" t="s">
        <v>34</v>
      </c>
      <c r="F3131" t="str">
        <f>"0003430"</f>
        <v>0003430</v>
      </c>
      <c r="G3131">
        <v>1</v>
      </c>
      <c r="H3131" t="str">
        <f>"00000000"</f>
        <v>00000000</v>
      </c>
      <c r="I3131" t="s">
        <v>35</v>
      </c>
      <c r="J3131"/>
      <c r="K3131">
        <v>4.19</v>
      </c>
      <c r="L3131">
        <v>1.04</v>
      </c>
      <c r="M3131"/>
      <c r="N3131"/>
      <c r="O3131">
        <v>0.75</v>
      </c>
      <c r="P3131">
        <v>0.0</v>
      </c>
      <c r="Q3131">
        <v>5.98</v>
      </c>
      <c r="R3131"/>
      <c r="S3131"/>
      <c r="T3131"/>
      <c r="U3131"/>
      <c r="V3131"/>
      <c r="W3131">
        <v>18</v>
      </c>
    </row>
    <row r="3132" spans="1:23">
      <c r="A3132"/>
      <c r="B3132" t="s">
        <v>82</v>
      </c>
      <c r="C3132" t="s">
        <v>82</v>
      </c>
      <c r="D3132" t="s">
        <v>33</v>
      </c>
      <c r="E3132" t="s">
        <v>34</v>
      </c>
      <c r="F3132" t="str">
        <f>"0003431"</f>
        <v>0003431</v>
      </c>
      <c r="G3132">
        <v>1</v>
      </c>
      <c r="H3132" t="str">
        <f>"00000000"</f>
        <v>00000000</v>
      </c>
      <c r="I3132" t="s">
        <v>35</v>
      </c>
      <c r="J3132"/>
      <c r="K3132">
        <v>14.08</v>
      </c>
      <c r="L3132">
        <v>0.0</v>
      </c>
      <c r="M3132"/>
      <c r="N3132"/>
      <c r="O3132">
        <v>2.54</v>
      </c>
      <c r="P3132">
        <v>0.2</v>
      </c>
      <c r="Q3132">
        <v>16.82</v>
      </c>
      <c r="R3132"/>
      <c r="S3132"/>
      <c r="T3132"/>
      <c r="U3132"/>
      <c r="V3132"/>
      <c r="W3132">
        <v>18</v>
      </c>
    </row>
    <row r="3133" spans="1:23">
      <c r="A3133"/>
      <c r="B3133" t="s">
        <v>82</v>
      </c>
      <c r="C3133" t="s">
        <v>82</v>
      </c>
      <c r="D3133" t="s">
        <v>33</v>
      </c>
      <c r="E3133" t="s">
        <v>34</v>
      </c>
      <c r="F3133" t="str">
        <f>"0003432"</f>
        <v>0003432</v>
      </c>
      <c r="G3133">
        <v>1</v>
      </c>
      <c r="H3133" t="str">
        <f>"00000000"</f>
        <v>00000000</v>
      </c>
      <c r="I3133" t="s">
        <v>35</v>
      </c>
      <c r="J3133"/>
      <c r="K3133">
        <v>10.19</v>
      </c>
      <c r="L3133">
        <v>3.07</v>
      </c>
      <c r="M3133"/>
      <c r="N3133"/>
      <c r="O3133">
        <v>1.83</v>
      </c>
      <c r="P3133">
        <v>0.2</v>
      </c>
      <c r="Q3133">
        <v>15.29</v>
      </c>
      <c r="R3133"/>
      <c r="S3133"/>
      <c r="T3133"/>
      <c r="U3133"/>
      <c r="V3133"/>
      <c r="W3133">
        <v>18</v>
      </c>
    </row>
    <row r="3134" spans="1:23">
      <c r="A3134"/>
      <c r="B3134" t="s">
        <v>82</v>
      </c>
      <c r="C3134" t="s">
        <v>82</v>
      </c>
      <c r="D3134" t="s">
        <v>33</v>
      </c>
      <c r="E3134" t="s">
        <v>34</v>
      </c>
      <c r="F3134" t="str">
        <f>"0003433"</f>
        <v>0003433</v>
      </c>
      <c r="G3134">
        <v>1</v>
      </c>
      <c r="H3134" t="str">
        <f>"00000000"</f>
        <v>00000000</v>
      </c>
      <c r="I3134" t="s">
        <v>35</v>
      </c>
      <c r="J3134"/>
      <c r="K3134">
        <v>16.25</v>
      </c>
      <c r="L3134">
        <v>5.79</v>
      </c>
      <c r="M3134"/>
      <c r="N3134"/>
      <c r="O3134">
        <v>2.92</v>
      </c>
      <c r="P3134">
        <v>0.2</v>
      </c>
      <c r="Q3134">
        <v>25.16</v>
      </c>
      <c r="R3134"/>
      <c r="S3134"/>
      <c r="T3134"/>
      <c r="U3134"/>
      <c r="V3134"/>
      <c r="W3134">
        <v>18</v>
      </c>
    </row>
    <row r="3135" spans="1:23">
      <c r="A3135"/>
      <c r="B3135" t="s">
        <v>82</v>
      </c>
      <c r="C3135" t="s">
        <v>82</v>
      </c>
      <c r="D3135" t="s">
        <v>33</v>
      </c>
      <c r="E3135" t="s">
        <v>34</v>
      </c>
      <c r="F3135" t="str">
        <f>"0003434"</f>
        <v>0003434</v>
      </c>
      <c r="G3135">
        <v>1</v>
      </c>
      <c r="H3135" t="str">
        <f>"00000000"</f>
        <v>00000000</v>
      </c>
      <c r="I3135" t="s">
        <v>35</v>
      </c>
      <c r="J3135"/>
      <c r="K3135">
        <v>2.03</v>
      </c>
      <c r="L3135">
        <v>4.81</v>
      </c>
      <c r="M3135"/>
      <c r="N3135"/>
      <c r="O3135">
        <v>0.37</v>
      </c>
      <c r="P3135">
        <v>0.0</v>
      </c>
      <c r="Q3135">
        <v>7.21</v>
      </c>
      <c r="R3135"/>
      <c r="S3135"/>
      <c r="T3135"/>
      <c r="U3135"/>
      <c r="V3135"/>
      <c r="W3135">
        <v>18</v>
      </c>
    </row>
    <row r="3136" spans="1:23">
      <c r="A3136"/>
      <c r="B3136" t="s">
        <v>82</v>
      </c>
      <c r="C3136" t="s">
        <v>82</v>
      </c>
      <c r="D3136" t="s">
        <v>33</v>
      </c>
      <c r="E3136" t="s">
        <v>34</v>
      </c>
      <c r="F3136" t="str">
        <f>"0003435"</f>
        <v>0003435</v>
      </c>
      <c r="G3136">
        <v>1</v>
      </c>
      <c r="H3136" t="str">
        <f>"00000000"</f>
        <v>00000000</v>
      </c>
      <c r="I3136" t="s">
        <v>35</v>
      </c>
      <c r="J3136"/>
      <c r="K3136">
        <v>3.22</v>
      </c>
      <c r="L3136">
        <v>0.0</v>
      </c>
      <c r="M3136"/>
      <c r="N3136"/>
      <c r="O3136">
        <v>0.58</v>
      </c>
      <c r="P3136">
        <v>0.0</v>
      </c>
      <c r="Q3136">
        <v>3.8</v>
      </c>
      <c r="R3136"/>
      <c r="S3136"/>
      <c r="T3136"/>
      <c r="U3136"/>
      <c r="V3136"/>
      <c r="W3136">
        <v>18</v>
      </c>
    </row>
    <row r="3137" spans="1:23">
      <c r="A3137"/>
      <c r="B3137" t="s">
        <v>82</v>
      </c>
      <c r="C3137" t="s">
        <v>82</v>
      </c>
      <c r="D3137" t="s">
        <v>33</v>
      </c>
      <c r="E3137" t="s">
        <v>34</v>
      </c>
      <c r="F3137" t="str">
        <f>"0003436"</f>
        <v>0003436</v>
      </c>
      <c r="G3137">
        <v>1</v>
      </c>
      <c r="H3137" t="str">
        <f>"00000000"</f>
        <v>00000000</v>
      </c>
      <c r="I3137" t="s">
        <v>35</v>
      </c>
      <c r="J3137"/>
      <c r="K3137">
        <v>0.0</v>
      </c>
      <c r="L3137">
        <v>2.75</v>
      </c>
      <c r="M3137"/>
      <c r="N3137"/>
      <c r="O3137">
        <v>0.0</v>
      </c>
      <c r="P3137">
        <v>0.0</v>
      </c>
      <c r="Q3137">
        <v>2.75</v>
      </c>
      <c r="R3137"/>
      <c r="S3137"/>
      <c r="T3137"/>
      <c r="U3137"/>
      <c r="V3137"/>
      <c r="W3137">
        <v>18</v>
      </c>
    </row>
    <row r="3138" spans="1:23">
      <c r="A3138"/>
      <c r="B3138" t="s">
        <v>82</v>
      </c>
      <c r="C3138" t="s">
        <v>82</v>
      </c>
      <c r="D3138" t="s">
        <v>33</v>
      </c>
      <c r="E3138" t="s">
        <v>34</v>
      </c>
      <c r="F3138" t="str">
        <f>"0003437"</f>
        <v>0003437</v>
      </c>
      <c r="G3138">
        <v>1</v>
      </c>
      <c r="H3138" t="str">
        <f>"00000000"</f>
        <v>00000000</v>
      </c>
      <c r="I3138" t="s">
        <v>35</v>
      </c>
      <c r="J3138"/>
      <c r="K3138">
        <v>6.37</v>
      </c>
      <c r="L3138">
        <v>0.0</v>
      </c>
      <c r="M3138"/>
      <c r="N3138"/>
      <c r="O3138">
        <v>1.15</v>
      </c>
      <c r="P3138">
        <v>0.2</v>
      </c>
      <c r="Q3138">
        <v>7.72</v>
      </c>
      <c r="R3138"/>
      <c r="S3138"/>
      <c r="T3138"/>
      <c r="U3138"/>
      <c r="V3138"/>
      <c r="W3138">
        <v>18</v>
      </c>
    </row>
    <row r="3139" spans="1:23">
      <c r="A3139"/>
      <c r="B3139" t="s">
        <v>82</v>
      </c>
      <c r="C3139" t="s">
        <v>82</v>
      </c>
      <c r="D3139" t="s">
        <v>33</v>
      </c>
      <c r="E3139" t="s">
        <v>34</v>
      </c>
      <c r="F3139" t="str">
        <f>"0003438"</f>
        <v>0003438</v>
      </c>
      <c r="G3139">
        <v>1</v>
      </c>
      <c r="H3139" t="str">
        <f>"00000000"</f>
        <v>00000000</v>
      </c>
      <c r="I3139" t="s">
        <v>35</v>
      </c>
      <c r="J3139"/>
      <c r="K3139">
        <v>15.27</v>
      </c>
      <c r="L3139">
        <v>0.0</v>
      </c>
      <c r="M3139"/>
      <c r="N3139"/>
      <c r="O3139">
        <v>2.75</v>
      </c>
      <c r="P3139">
        <v>0.2</v>
      </c>
      <c r="Q3139">
        <v>18.22</v>
      </c>
      <c r="R3139"/>
      <c r="S3139"/>
      <c r="T3139"/>
      <c r="U3139"/>
      <c r="V3139"/>
      <c r="W3139">
        <v>18</v>
      </c>
    </row>
    <row r="3140" spans="1:23">
      <c r="A3140"/>
      <c r="B3140" t="s">
        <v>82</v>
      </c>
      <c r="C3140" t="s">
        <v>82</v>
      </c>
      <c r="D3140" t="s">
        <v>33</v>
      </c>
      <c r="E3140" t="s">
        <v>34</v>
      </c>
      <c r="F3140" t="str">
        <f>"0003439"</f>
        <v>0003439</v>
      </c>
      <c r="G3140">
        <v>1</v>
      </c>
      <c r="H3140" t="str">
        <f>"00000000"</f>
        <v>00000000</v>
      </c>
      <c r="I3140" t="s">
        <v>35</v>
      </c>
      <c r="J3140"/>
      <c r="K3140">
        <v>0.0</v>
      </c>
      <c r="L3140">
        <v>0.44</v>
      </c>
      <c r="M3140"/>
      <c r="N3140"/>
      <c r="O3140">
        <v>0.0</v>
      </c>
      <c r="P3140">
        <v>0.0</v>
      </c>
      <c r="Q3140">
        <v>0.44</v>
      </c>
      <c r="R3140"/>
      <c r="S3140"/>
      <c r="T3140"/>
      <c r="U3140"/>
      <c r="V3140"/>
      <c r="W3140">
        <v>18</v>
      </c>
    </row>
    <row r="3141" spans="1:23">
      <c r="A3141"/>
      <c r="B3141" t="s">
        <v>82</v>
      </c>
      <c r="C3141" t="s">
        <v>82</v>
      </c>
      <c r="D3141" t="s">
        <v>33</v>
      </c>
      <c r="E3141" t="s">
        <v>34</v>
      </c>
      <c r="F3141" t="str">
        <f>"0003440"</f>
        <v>0003440</v>
      </c>
      <c r="G3141">
        <v>1</v>
      </c>
      <c r="H3141" t="str">
        <f>"00000000"</f>
        <v>00000000</v>
      </c>
      <c r="I3141" t="s">
        <v>35</v>
      </c>
      <c r="J3141"/>
      <c r="K3141">
        <v>1.02</v>
      </c>
      <c r="L3141">
        <v>0.0</v>
      </c>
      <c r="M3141"/>
      <c r="N3141"/>
      <c r="O3141">
        <v>0.18</v>
      </c>
      <c r="P3141">
        <v>0.0</v>
      </c>
      <c r="Q3141">
        <v>1.2</v>
      </c>
      <c r="R3141"/>
      <c r="S3141"/>
      <c r="T3141"/>
      <c r="U3141"/>
      <c r="V3141"/>
      <c r="W3141">
        <v>18</v>
      </c>
    </row>
    <row r="3142" spans="1:23">
      <c r="A3142"/>
      <c r="B3142" t="s">
        <v>82</v>
      </c>
      <c r="C3142" t="s">
        <v>82</v>
      </c>
      <c r="D3142" t="s">
        <v>33</v>
      </c>
      <c r="E3142" t="s">
        <v>34</v>
      </c>
      <c r="F3142" t="str">
        <f>"0003441"</f>
        <v>0003441</v>
      </c>
      <c r="G3142">
        <v>1</v>
      </c>
      <c r="H3142" t="str">
        <f>"00000000"</f>
        <v>00000000</v>
      </c>
      <c r="I3142" t="s">
        <v>35</v>
      </c>
      <c r="J3142"/>
      <c r="K3142">
        <v>9.76</v>
      </c>
      <c r="L3142">
        <v>0.0</v>
      </c>
      <c r="M3142"/>
      <c r="N3142"/>
      <c r="O3142">
        <v>1.76</v>
      </c>
      <c r="P3142">
        <v>0.2</v>
      </c>
      <c r="Q3142">
        <v>11.72</v>
      </c>
      <c r="R3142"/>
      <c r="S3142"/>
      <c r="T3142"/>
      <c r="U3142"/>
      <c r="V3142"/>
      <c r="W3142">
        <v>18</v>
      </c>
    </row>
    <row r="3143" spans="1:23">
      <c r="A3143"/>
      <c r="B3143" t="s">
        <v>82</v>
      </c>
      <c r="C3143" t="s">
        <v>82</v>
      </c>
      <c r="D3143" t="s">
        <v>33</v>
      </c>
      <c r="E3143" t="s">
        <v>34</v>
      </c>
      <c r="F3143" t="str">
        <f>"0003442"</f>
        <v>0003442</v>
      </c>
      <c r="G3143">
        <v>1</v>
      </c>
      <c r="H3143" t="str">
        <f>"00000000"</f>
        <v>00000000</v>
      </c>
      <c r="I3143" t="s">
        <v>35</v>
      </c>
      <c r="J3143"/>
      <c r="K3143">
        <v>6.92</v>
      </c>
      <c r="L3143">
        <v>0.0</v>
      </c>
      <c r="M3143"/>
      <c r="N3143"/>
      <c r="O3143">
        <v>1.25</v>
      </c>
      <c r="P3143">
        <v>0.2</v>
      </c>
      <c r="Q3143">
        <v>8.37</v>
      </c>
      <c r="R3143"/>
      <c r="S3143"/>
      <c r="T3143"/>
      <c r="U3143"/>
      <c r="V3143"/>
      <c r="W3143">
        <v>18</v>
      </c>
    </row>
    <row r="3144" spans="1:23">
      <c r="A3144"/>
      <c r="B3144" t="s">
        <v>82</v>
      </c>
      <c r="C3144" t="s">
        <v>82</v>
      </c>
      <c r="D3144" t="s">
        <v>33</v>
      </c>
      <c r="E3144" t="s">
        <v>34</v>
      </c>
      <c r="F3144" t="str">
        <f>"0003443"</f>
        <v>0003443</v>
      </c>
      <c r="G3144">
        <v>1</v>
      </c>
      <c r="H3144" t="str">
        <f>"00000000"</f>
        <v>00000000</v>
      </c>
      <c r="I3144" t="s">
        <v>35</v>
      </c>
      <c r="J3144"/>
      <c r="K3144">
        <v>2.0</v>
      </c>
      <c r="L3144">
        <v>5.96</v>
      </c>
      <c r="M3144"/>
      <c r="N3144"/>
      <c r="O3144">
        <v>0.36</v>
      </c>
      <c r="P3144">
        <v>0.0</v>
      </c>
      <c r="Q3144">
        <v>8.32</v>
      </c>
      <c r="R3144"/>
      <c r="S3144"/>
      <c r="T3144"/>
      <c r="U3144"/>
      <c r="V3144"/>
      <c r="W3144">
        <v>18</v>
      </c>
    </row>
    <row r="3145" spans="1:23">
      <c r="A3145"/>
      <c r="B3145" t="s">
        <v>82</v>
      </c>
      <c r="C3145" t="s">
        <v>82</v>
      </c>
      <c r="D3145" t="s">
        <v>33</v>
      </c>
      <c r="E3145" t="s">
        <v>34</v>
      </c>
      <c r="F3145" t="str">
        <f>"0003444"</f>
        <v>0003444</v>
      </c>
      <c r="G3145">
        <v>1</v>
      </c>
      <c r="H3145" t="str">
        <f>"00000000"</f>
        <v>00000000</v>
      </c>
      <c r="I3145" t="s">
        <v>35</v>
      </c>
      <c r="J3145"/>
      <c r="K3145">
        <v>58.52</v>
      </c>
      <c r="L3145">
        <v>29.43</v>
      </c>
      <c r="M3145"/>
      <c r="N3145"/>
      <c r="O3145">
        <v>10.53</v>
      </c>
      <c r="P3145">
        <v>0.0</v>
      </c>
      <c r="Q3145">
        <v>98.48</v>
      </c>
      <c r="R3145"/>
      <c r="S3145"/>
      <c r="T3145"/>
      <c r="U3145"/>
      <c r="V3145"/>
      <c r="W3145">
        <v>18</v>
      </c>
    </row>
    <row r="3146" spans="1:23">
      <c r="A3146"/>
      <c r="B3146" t="s">
        <v>82</v>
      </c>
      <c r="C3146" t="s">
        <v>82</v>
      </c>
      <c r="D3146" t="s">
        <v>33</v>
      </c>
      <c r="E3146" t="s">
        <v>34</v>
      </c>
      <c r="F3146" t="str">
        <f>"0003445"</f>
        <v>0003445</v>
      </c>
      <c r="G3146">
        <v>1</v>
      </c>
      <c r="H3146" t="str">
        <f>"00000000"</f>
        <v>00000000</v>
      </c>
      <c r="I3146" t="s">
        <v>35</v>
      </c>
      <c r="J3146"/>
      <c r="K3146">
        <v>6.12</v>
      </c>
      <c r="L3146">
        <v>0.0</v>
      </c>
      <c r="M3146"/>
      <c r="N3146"/>
      <c r="O3146">
        <v>1.1</v>
      </c>
      <c r="P3146">
        <v>0.2</v>
      </c>
      <c r="Q3146">
        <v>7.42</v>
      </c>
      <c r="R3146"/>
      <c r="S3146"/>
      <c r="T3146"/>
      <c r="U3146"/>
      <c r="V3146"/>
      <c r="W3146">
        <v>18</v>
      </c>
    </row>
    <row r="3147" spans="1:23">
      <c r="A3147"/>
      <c r="B3147" t="s">
        <v>82</v>
      </c>
      <c r="C3147" t="s">
        <v>82</v>
      </c>
      <c r="D3147" t="s">
        <v>33</v>
      </c>
      <c r="E3147" t="s">
        <v>34</v>
      </c>
      <c r="F3147" t="str">
        <f>"0003446"</f>
        <v>0003446</v>
      </c>
      <c r="G3147">
        <v>1</v>
      </c>
      <c r="H3147" t="str">
        <f>"00000000"</f>
        <v>00000000</v>
      </c>
      <c r="I3147" t="s">
        <v>35</v>
      </c>
      <c r="J3147"/>
      <c r="K3147">
        <v>6.31</v>
      </c>
      <c r="L3147">
        <v>27.9</v>
      </c>
      <c r="M3147"/>
      <c r="N3147"/>
      <c r="O3147">
        <v>1.13</v>
      </c>
      <c r="P3147">
        <v>0.2</v>
      </c>
      <c r="Q3147">
        <v>35.54</v>
      </c>
      <c r="R3147"/>
      <c r="S3147"/>
      <c r="T3147"/>
      <c r="U3147"/>
      <c r="V3147"/>
      <c r="W3147">
        <v>18</v>
      </c>
    </row>
    <row r="3148" spans="1:23">
      <c r="A3148"/>
      <c r="B3148" t="s">
        <v>82</v>
      </c>
      <c r="C3148" t="s">
        <v>82</v>
      </c>
      <c r="D3148" t="s">
        <v>33</v>
      </c>
      <c r="E3148" t="s">
        <v>34</v>
      </c>
      <c r="F3148" t="str">
        <f>"0003447"</f>
        <v>0003447</v>
      </c>
      <c r="G3148">
        <v>1</v>
      </c>
      <c r="H3148" t="str">
        <f>"00000000"</f>
        <v>00000000</v>
      </c>
      <c r="I3148" t="s">
        <v>35</v>
      </c>
      <c r="J3148"/>
      <c r="K3148">
        <v>24.17</v>
      </c>
      <c r="L3148">
        <v>9.02</v>
      </c>
      <c r="M3148"/>
      <c r="N3148"/>
      <c r="O3148">
        <v>4.35</v>
      </c>
      <c r="P3148">
        <v>0.2</v>
      </c>
      <c r="Q3148">
        <v>37.74</v>
      </c>
      <c r="R3148"/>
      <c r="S3148"/>
      <c r="T3148"/>
      <c r="U3148"/>
      <c r="V3148"/>
      <c r="W3148">
        <v>18</v>
      </c>
    </row>
    <row r="3149" spans="1:23">
      <c r="A3149"/>
      <c r="B3149" t="s">
        <v>82</v>
      </c>
      <c r="C3149" t="s">
        <v>82</v>
      </c>
      <c r="D3149" t="s">
        <v>33</v>
      </c>
      <c r="E3149" t="s">
        <v>34</v>
      </c>
      <c r="F3149" t="str">
        <f>"0003448"</f>
        <v>0003448</v>
      </c>
      <c r="G3149">
        <v>1</v>
      </c>
      <c r="H3149" t="str">
        <f>"00000000"</f>
        <v>00000000</v>
      </c>
      <c r="I3149" t="s">
        <v>35</v>
      </c>
      <c r="J3149"/>
      <c r="K3149">
        <v>34.33</v>
      </c>
      <c r="L3149">
        <v>38.09</v>
      </c>
      <c r="M3149"/>
      <c r="N3149"/>
      <c r="O3149">
        <v>6.18</v>
      </c>
      <c r="P3149">
        <v>0.0</v>
      </c>
      <c r="Q3149">
        <v>78.59</v>
      </c>
      <c r="R3149"/>
      <c r="S3149"/>
      <c r="T3149"/>
      <c r="U3149"/>
      <c r="V3149"/>
      <c r="W3149">
        <v>18</v>
      </c>
    </row>
    <row r="3150" spans="1:23">
      <c r="A3150"/>
      <c r="B3150" t="s">
        <v>82</v>
      </c>
      <c r="C3150" t="s">
        <v>82</v>
      </c>
      <c r="D3150" t="s">
        <v>33</v>
      </c>
      <c r="E3150" t="s">
        <v>34</v>
      </c>
      <c r="F3150" t="str">
        <f>"0003449"</f>
        <v>0003449</v>
      </c>
      <c r="G3150">
        <v>1</v>
      </c>
      <c r="H3150" t="str">
        <f>"00000000"</f>
        <v>00000000</v>
      </c>
      <c r="I3150" t="s">
        <v>35</v>
      </c>
      <c r="J3150"/>
      <c r="K3150">
        <v>5.42</v>
      </c>
      <c r="L3150">
        <v>0.0</v>
      </c>
      <c r="M3150"/>
      <c r="N3150"/>
      <c r="O3150">
        <v>0.98</v>
      </c>
      <c r="P3150">
        <v>0.0</v>
      </c>
      <c r="Q3150">
        <v>6.4</v>
      </c>
      <c r="R3150"/>
      <c r="S3150"/>
      <c r="T3150"/>
      <c r="U3150"/>
      <c r="V3150"/>
      <c r="W3150">
        <v>18</v>
      </c>
    </row>
    <row r="3151" spans="1:23">
      <c r="A3151"/>
      <c r="B3151" t="s">
        <v>82</v>
      </c>
      <c r="C3151" t="s">
        <v>82</v>
      </c>
      <c r="D3151" t="s">
        <v>33</v>
      </c>
      <c r="E3151" t="s">
        <v>34</v>
      </c>
      <c r="F3151" t="str">
        <f>"0003450"</f>
        <v>0003450</v>
      </c>
      <c r="G3151">
        <v>1</v>
      </c>
      <c r="H3151" t="str">
        <f>"00000000"</f>
        <v>00000000</v>
      </c>
      <c r="I3151" t="s">
        <v>35</v>
      </c>
      <c r="J3151"/>
      <c r="K3151">
        <v>12.54</v>
      </c>
      <c r="L3151">
        <v>0.0</v>
      </c>
      <c r="M3151"/>
      <c r="N3151"/>
      <c r="O3151">
        <v>2.26</v>
      </c>
      <c r="P3151">
        <v>0.2</v>
      </c>
      <c r="Q3151">
        <v>15.0</v>
      </c>
      <c r="R3151"/>
      <c r="S3151"/>
      <c r="T3151"/>
      <c r="U3151"/>
      <c r="V3151"/>
      <c r="W3151">
        <v>18</v>
      </c>
    </row>
    <row r="3152" spans="1:23">
      <c r="A3152"/>
      <c r="B3152" t="s">
        <v>82</v>
      </c>
      <c r="C3152" t="s">
        <v>82</v>
      </c>
      <c r="D3152" t="s">
        <v>33</v>
      </c>
      <c r="E3152" t="s">
        <v>34</v>
      </c>
      <c r="F3152" t="str">
        <f>"0003451"</f>
        <v>0003451</v>
      </c>
      <c r="G3152">
        <v>1</v>
      </c>
      <c r="H3152" t="str">
        <f>"00000000"</f>
        <v>00000000</v>
      </c>
      <c r="I3152" t="s">
        <v>35</v>
      </c>
      <c r="J3152"/>
      <c r="K3152">
        <v>29.48</v>
      </c>
      <c r="L3152">
        <v>67.21</v>
      </c>
      <c r="M3152"/>
      <c r="N3152"/>
      <c r="O3152">
        <v>5.31</v>
      </c>
      <c r="P3152">
        <v>0.6</v>
      </c>
      <c r="Q3152">
        <v>102.6</v>
      </c>
      <c r="R3152"/>
      <c r="S3152"/>
      <c r="T3152"/>
      <c r="U3152"/>
      <c r="V3152"/>
      <c r="W3152">
        <v>18</v>
      </c>
    </row>
    <row r="3153" spans="1:23">
      <c r="A3153"/>
      <c r="B3153" t="s">
        <v>82</v>
      </c>
      <c r="C3153" t="s">
        <v>82</v>
      </c>
      <c r="D3153" t="s">
        <v>33</v>
      </c>
      <c r="E3153" t="s">
        <v>34</v>
      </c>
      <c r="F3153" t="str">
        <f>"0003452"</f>
        <v>0003452</v>
      </c>
      <c r="G3153">
        <v>1</v>
      </c>
      <c r="H3153" t="str">
        <f>"00000000"</f>
        <v>00000000</v>
      </c>
      <c r="I3153" t="s">
        <v>35</v>
      </c>
      <c r="J3153"/>
      <c r="K3153">
        <v>3.6</v>
      </c>
      <c r="L3153">
        <v>0.0</v>
      </c>
      <c r="M3153"/>
      <c r="N3153"/>
      <c r="O3153">
        <v>0.65</v>
      </c>
      <c r="P3153">
        <v>0.0</v>
      </c>
      <c r="Q3153">
        <v>4.25</v>
      </c>
      <c r="R3153"/>
      <c r="S3153"/>
      <c r="T3153"/>
      <c r="U3153"/>
      <c r="V3153"/>
      <c r="W3153">
        <v>18</v>
      </c>
    </row>
    <row r="3154" spans="1:23">
      <c r="A3154"/>
      <c r="B3154" t="s">
        <v>82</v>
      </c>
      <c r="C3154" t="s">
        <v>82</v>
      </c>
      <c r="D3154" t="s">
        <v>33</v>
      </c>
      <c r="E3154" t="s">
        <v>34</v>
      </c>
      <c r="F3154" t="str">
        <f>"0003453"</f>
        <v>0003453</v>
      </c>
      <c r="G3154">
        <v>1</v>
      </c>
      <c r="H3154" t="str">
        <f>"00000000"</f>
        <v>00000000</v>
      </c>
      <c r="I3154" t="s">
        <v>35</v>
      </c>
      <c r="J3154"/>
      <c r="K3154">
        <v>1.61</v>
      </c>
      <c r="L3154">
        <v>0.0</v>
      </c>
      <c r="M3154"/>
      <c r="N3154"/>
      <c r="O3154">
        <v>0.29</v>
      </c>
      <c r="P3154">
        <v>0.0</v>
      </c>
      <c r="Q3154">
        <v>1.9</v>
      </c>
      <c r="R3154"/>
      <c r="S3154"/>
      <c r="T3154"/>
      <c r="U3154"/>
      <c r="V3154"/>
      <c r="W3154">
        <v>18</v>
      </c>
    </row>
    <row r="3155" spans="1:23">
      <c r="A3155"/>
      <c r="B3155" t="s">
        <v>82</v>
      </c>
      <c r="C3155" t="s">
        <v>82</v>
      </c>
      <c r="D3155" t="s">
        <v>33</v>
      </c>
      <c r="E3155" t="s">
        <v>34</v>
      </c>
      <c r="F3155" t="str">
        <f>"0003454"</f>
        <v>0003454</v>
      </c>
      <c r="G3155">
        <v>1</v>
      </c>
      <c r="H3155" t="str">
        <f>"00000000"</f>
        <v>00000000</v>
      </c>
      <c r="I3155" t="s">
        <v>35</v>
      </c>
      <c r="J3155"/>
      <c r="K3155">
        <v>3.39</v>
      </c>
      <c r="L3155">
        <v>0.0</v>
      </c>
      <c r="M3155"/>
      <c r="N3155"/>
      <c r="O3155">
        <v>0.61</v>
      </c>
      <c r="P3155">
        <v>0.0</v>
      </c>
      <c r="Q3155">
        <v>4.0</v>
      </c>
      <c r="R3155"/>
      <c r="S3155"/>
      <c r="T3155"/>
      <c r="U3155"/>
      <c r="V3155"/>
      <c r="W3155">
        <v>18</v>
      </c>
    </row>
    <row r="3156" spans="1:23">
      <c r="A3156"/>
      <c r="B3156" t="s">
        <v>82</v>
      </c>
      <c r="C3156" t="s">
        <v>82</v>
      </c>
      <c r="D3156" t="s">
        <v>33</v>
      </c>
      <c r="E3156" t="s">
        <v>34</v>
      </c>
      <c r="F3156" t="str">
        <f>"0003455"</f>
        <v>0003455</v>
      </c>
      <c r="G3156">
        <v>1</v>
      </c>
      <c r="H3156" t="str">
        <f>"00000000"</f>
        <v>00000000</v>
      </c>
      <c r="I3156" t="s">
        <v>35</v>
      </c>
      <c r="J3156"/>
      <c r="K3156">
        <v>68.42</v>
      </c>
      <c r="L3156">
        <v>0.0</v>
      </c>
      <c r="M3156"/>
      <c r="N3156"/>
      <c r="O3156">
        <v>12.31</v>
      </c>
      <c r="P3156">
        <v>0.4</v>
      </c>
      <c r="Q3156">
        <v>81.13</v>
      </c>
      <c r="R3156"/>
      <c r="S3156"/>
      <c r="T3156"/>
      <c r="U3156"/>
      <c r="V3156"/>
      <c r="W3156">
        <v>18</v>
      </c>
    </row>
    <row r="3157" spans="1:23">
      <c r="A3157"/>
      <c r="B3157" t="s">
        <v>82</v>
      </c>
      <c r="C3157" t="s">
        <v>82</v>
      </c>
      <c r="D3157" t="s">
        <v>33</v>
      </c>
      <c r="E3157" t="s">
        <v>34</v>
      </c>
      <c r="F3157" t="str">
        <f>"0003456"</f>
        <v>0003456</v>
      </c>
      <c r="G3157">
        <v>1</v>
      </c>
      <c r="H3157" t="str">
        <f>"00000000"</f>
        <v>00000000</v>
      </c>
      <c r="I3157" t="s">
        <v>35</v>
      </c>
      <c r="J3157"/>
      <c r="K3157">
        <v>1.44</v>
      </c>
      <c r="L3157">
        <v>1.06</v>
      </c>
      <c r="M3157"/>
      <c r="N3157"/>
      <c r="O3157">
        <v>0.26</v>
      </c>
      <c r="P3157">
        <v>0.0</v>
      </c>
      <c r="Q3157">
        <v>2.76</v>
      </c>
      <c r="R3157"/>
      <c r="S3157"/>
      <c r="T3157"/>
      <c r="U3157"/>
      <c r="V3157"/>
      <c r="W3157">
        <v>18</v>
      </c>
    </row>
    <row r="3158" spans="1:23">
      <c r="A3158"/>
      <c r="B3158" t="s">
        <v>82</v>
      </c>
      <c r="C3158" t="s">
        <v>82</v>
      </c>
      <c r="D3158" t="s">
        <v>33</v>
      </c>
      <c r="E3158" t="s">
        <v>34</v>
      </c>
      <c r="F3158" t="str">
        <f>"0003457"</f>
        <v>0003457</v>
      </c>
      <c r="G3158">
        <v>1</v>
      </c>
      <c r="H3158" t="str">
        <f>"00000000"</f>
        <v>00000000</v>
      </c>
      <c r="I3158" t="s">
        <v>35</v>
      </c>
      <c r="J3158"/>
      <c r="K3158">
        <v>9.32</v>
      </c>
      <c r="L3158">
        <v>0.0</v>
      </c>
      <c r="M3158"/>
      <c r="N3158"/>
      <c r="O3158">
        <v>1.68</v>
      </c>
      <c r="P3158">
        <v>0.0</v>
      </c>
      <c r="Q3158">
        <v>11.0</v>
      </c>
      <c r="R3158"/>
      <c r="S3158"/>
      <c r="T3158"/>
      <c r="U3158"/>
      <c r="V3158"/>
      <c r="W3158">
        <v>18</v>
      </c>
    </row>
    <row r="3159" spans="1:23">
      <c r="A3159"/>
      <c r="B3159" t="s">
        <v>82</v>
      </c>
      <c r="C3159" t="s">
        <v>82</v>
      </c>
      <c r="D3159" t="s">
        <v>33</v>
      </c>
      <c r="E3159" t="s">
        <v>34</v>
      </c>
      <c r="F3159" t="str">
        <f>"0003458"</f>
        <v>0003458</v>
      </c>
      <c r="G3159">
        <v>1</v>
      </c>
      <c r="H3159" t="str">
        <f>"00000000"</f>
        <v>00000000</v>
      </c>
      <c r="I3159" t="s">
        <v>35</v>
      </c>
      <c r="J3159"/>
      <c r="K3159">
        <v>19.26</v>
      </c>
      <c r="L3159">
        <v>0.0</v>
      </c>
      <c r="M3159"/>
      <c r="N3159"/>
      <c r="O3159">
        <v>3.47</v>
      </c>
      <c r="P3159">
        <v>0.0</v>
      </c>
      <c r="Q3159">
        <v>22.72</v>
      </c>
      <c r="R3159"/>
      <c r="S3159"/>
      <c r="T3159"/>
      <c r="U3159"/>
      <c r="V3159"/>
      <c r="W3159">
        <v>18</v>
      </c>
    </row>
    <row r="3160" spans="1:23">
      <c r="A3160"/>
      <c r="B3160" t="s">
        <v>82</v>
      </c>
      <c r="C3160" t="s">
        <v>82</v>
      </c>
      <c r="D3160" t="s">
        <v>33</v>
      </c>
      <c r="E3160" t="s">
        <v>34</v>
      </c>
      <c r="F3160" t="str">
        <f>"0003459"</f>
        <v>0003459</v>
      </c>
      <c r="G3160">
        <v>1</v>
      </c>
      <c r="H3160" t="str">
        <f>"00000000"</f>
        <v>00000000</v>
      </c>
      <c r="I3160" t="s">
        <v>35</v>
      </c>
      <c r="J3160"/>
      <c r="K3160">
        <v>3.81</v>
      </c>
      <c r="L3160">
        <v>0.0</v>
      </c>
      <c r="M3160"/>
      <c r="N3160"/>
      <c r="O3160">
        <v>0.69</v>
      </c>
      <c r="P3160">
        <v>0.0</v>
      </c>
      <c r="Q3160">
        <v>4.5</v>
      </c>
      <c r="R3160"/>
      <c r="S3160"/>
      <c r="T3160"/>
      <c r="U3160"/>
      <c r="V3160"/>
      <c r="W3160">
        <v>18</v>
      </c>
    </row>
    <row r="3161" spans="1:23">
      <c r="A3161"/>
      <c r="B3161" t="s">
        <v>82</v>
      </c>
      <c r="C3161" t="s">
        <v>82</v>
      </c>
      <c r="D3161" t="s">
        <v>33</v>
      </c>
      <c r="E3161" t="s">
        <v>34</v>
      </c>
      <c r="F3161" t="str">
        <f>"0003460"</f>
        <v>0003460</v>
      </c>
      <c r="G3161">
        <v>1</v>
      </c>
      <c r="H3161" t="str">
        <f>"00000000"</f>
        <v>00000000</v>
      </c>
      <c r="I3161" t="s">
        <v>35</v>
      </c>
      <c r="J3161"/>
      <c r="K3161">
        <v>113.0</v>
      </c>
      <c r="L3161">
        <v>27.9</v>
      </c>
      <c r="M3161"/>
      <c r="N3161"/>
      <c r="O3161">
        <v>20.34</v>
      </c>
      <c r="P3161">
        <v>0.4</v>
      </c>
      <c r="Q3161">
        <v>161.64</v>
      </c>
      <c r="R3161"/>
      <c r="S3161"/>
      <c r="T3161"/>
      <c r="U3161"/>
      <c r="V3161"/>
      <c r="W3161">
        <v>18</v>
      </c>
    </row>
    <row r="3162" spans="1:23">
      <c r="A3162"/>
      <c r="B3162" t="s">
        <v>82</v>
      </c>
      <c r="C3162" t="s">
        <v>82</v>
      </c>
      <c r="D3162" t="s">
        <v>33</v>
      </c>
      <c r="E3162" t="s">
        <v>34</v>
      </c>
      <c r="F3162" t="str">
        <f>"0003461"</f>
        <v>0003461</v>
      </c>
      <c r="G3162">
        <v>1</v>
      </c>
      <c r="H3162" t="str">
        <f>"00000000"</f>
        <v>00000000</v>
      </c>
      <c r="I3162" t="s">
        <v>35</v>
      </c>
      <c r="J3162"/>
      <c r="K3162">
        <v>6.46</v>
      </c>
      <c r="L3162">
        <v>0.0</v>
      </c>
      <c r="M3162"/>
      <c r="N3162"/>
      <c r="O3162">
        <v>1.16</v>
      </c>
      <c r="P3162">
        <v>0.2</v>
      </c>
      <c r="Q3162">
        <v>7.82</v>
      </c>
      <c r="R3162"/>
      <c r="S3162"/>
      <c r="T3162"/>
      <c r="U3162"/>
      <c r="V3162"/>
      <c r="W3162">
        <v>18</v>
      </c>
    </row>
    <row r="3163" spans="1:23">
      <c r="A3163"/>
      <c r="B3163" t="s">
        <v>82</v>
      </c>
      <c r="C3163" t="s">
        <v>82</v>
      </c>
      <c r="D3163" t="s">
        <v>33</v>
      </c>
      <c r="E3163" t="s">
        <v>34</v>
      </c>
      <c r="F3163" t="str">
        <f>"0003462"</f>
        <v>0003462</v>
      </c>
      <c r="G3163">
        <v>1</v>
      </c>
      <c r="H3163" t="str">
        <f>"00000000"</f>
        <v>00000000</v>
      </c>
      <c r="I3163" t="s">
        <v>35</v>
      </c>
      <c r="J3163"/>
      <c r="K3163">
        <v>14.96</v>
      </c>
      <c r="L3163">
        <v>0.0</v>
      </c>
      <c r="M3163"/>
      <c r="N3163"/>
      <c r="O3163">
        <v>2.69</v>
      </c>
      <c r="P3163">
        <v>0.2</v>
      </c>
      <c r="Q3163">
        <v>17.85</v>
      </c>
      <c r="R3163"/>
      <c r="S3163"/>
      <c r="T3163"/>
      <c r="U3163"/>
      <c r="V3163"/>
      <c r="W3163">
        <v>18</v>
      </c>
    </row>
    <row r="3164" spans="1:23">
      <c r="A3164"/>
      <c r="B3164" t="s">
        <v>82</v>
      </c>
      <c r="C3164" t="s">
        <v>82</v>
      </c>
      <c r="D3164" t="s">
        <v>33</v>
      </c>
      <c r="E3164" t="s">
        <v>34</v>
      </c>
      <c r="F3164" t="str">
        <f>"0003463"</f>
        <v>0003463</v>
      </c>
      <c r="G3164">
        <v>1</v>
      </c>
      <c r="H3164" t="str">
        <f>"00000000"</f>
        <v>00000000</v>
      </c>
      <c r="I3164" t="s">
        <v>35</v>
      </c>
      <c r="J3164"/>
      <c r="K3164">
        <v>1.74</v>
      </c>
      <c r="L3164">
        <v>0.0</v>
      </c>
      <c r="M3164"/>
      <c r="N3164"/>
      <c r="O3164">
        <v>0.31</v>
      </c>
      <c r="P3164">
        <v>0.0</v>
      </c>
      <c r="Q3164">
        <v>2.06</v>
      </c>
      <c r="R3164"/>
      <c r="S3164"/>
      <c r="T3164"/>
      <c r="U3164"/>
      <c r="V3164"/>
      <c r="W3164">
        <v>18</v>
      </c>
    </row>
    <row r="3165" spans="1:23">
      <c r="A3165"/>
      <c r="B3165" t="s">
        <v>82</v>
      </c>
      <c r="C3165" t="s">
        <v>82</v>
      </c>
      <c r="D3165" t="s">
        <v>33</v>
      </c>
      <c r="E3165" t="s">
        <v>34</v>
      </c>
      <c r="F3165" t="str">
        <f>"0003464"</f>
        <v>0003464</v>
      </c>
      <c r="G3165">
        <v>1</v>
      </c>
      <c r="H3165" t="str">
        <f>"00000000"</f>
        <v>00000000</v>
      </c>
      <c r="I3165" t="s">
        <v>35</v>
      </c>
      <c r="J3165"/>
      <c r="K3165">
        <v>5.0</v>
      </c>
      <c r="L3165">
        <v>0.0</v>
      </c>
      <c r="M3165"/>
      <c r="N3165"/>
      <c r="O3165">
        <v>0.9</v>
      </c>
      <c r="P3165">
        <v>0.0</v>
      </c>
      <c r="Q3165">
        <v>5.9</v>
      </c>
      <c r="R3165"/>
      <c r="S3165"/>
      <c r="T3165"/>
      <c r="U3165"/>
      <c r="V3165"/>
      <c r="W3165">
        <v>18</v>
      </c>
    </row>
    <row r="3166" spans="1:23">
      <c r="A3166"/>
      <c r="B3166" t="s">
        <v>82</v>
      </c>
      <c r="C3166" t="s">
        <v>82</v>
      </c>
      <c r="D3166" t="s">
        <v>33</v>
      </c>
      <c r="E3166" t="s">
        <v>34</v>
      </c>
      <c r="F3166" t="str">
        <f>"0003465"</f>
        <v>0003465</v>
      </c>
      <c r="G3166">
        <v>1</v>
      </c>
      <c r="H3166" t="str">
        <f>"00000000"</f>
        <v>00000000</v>
      </c>
      <c r="I3166" t="s">
        <v>35</v>
      </c>
      <c r="J3166"/>
      <c r="K3166">
        <v>0.0</v>
      </c>
      <c r="L3166">
        <v>6.59</v>
      </c>
      <c r="M3166"/>
      <c r="N3166"/>
      <c r="O3166">
        <v>0.0</v>
      </c>
      <c r="P3166">
        <v>0.0</v>
      </c>
      <c r="Q3166">
        <v>6.59</v>
      </c>
      <c r="R3166"/>
      <c r="S3166"/>
      <c r="T3166"/>
      <c r="U3166"/>
      <c r="V3166"/>
      <c r="W3166">
        <v>18</v>
      </c>
    </row>
    <row r="3167" spans="1:23">
      <c r="A3167"/>
      <c r="B3167" t="s">
        <v>82</v>
      </c>
      <c r="C3167" t="s">
        <v>82</v>
      </c>
      <c r="D3167" t="s">
        <v>33</v>
      </c>
      <c r="E3167" t="s">
        <v>34</v>
      </c>
      <c r="F3167" t="str">
        <f>"0003466"</f>
        <v>0003466</v>
      </c>
      <c r="G3167">
        <v>1</v>
      </c>
      <c r="H3167" t="str">
        <f>"00000000"</f>
        <v>00000000</v>
      </c>
      <c r="I3167" t="s">
        <v>35</v>
      </c>
      <c r="J3167"/>
      <c r="K3167">
        <v>1.02</v>
      </c>
      <c r="L3167">
        <v>0.0</v>
      </c>
      <c r="M3167"/>
      <c r="N3167"/>
      <c r="O3167">
        <v>0.18</v>
      </c>
      <c r="P3167">
        <v>0.0</v>
      </c>
      <c r="Q3167">
        <v>1.2</v>
      </c>
      <c r="R3167"/>
      <c r="S3167"/>
      <c r="T3167"/>
      <c r="U3167"/>
      <c r="V3167"/>
      <c r="W3167">
        <v>18</v>
      </c>
    </row>
    <row r="3168" spans="1:23">
      <c r="A3168"/>
      <c r="B3168" t="s">
        <v>82</v>
      </c>
      <c r="C3168" t="s">
        <v>82</v>
      </c>
      <c r="D3168" t="s">
        <v>33</v>
      </c>
      <c r="E3168" t="s">
        <v>34</v>
      </c>
      <c r="F3168" t="str">
        <f>"0003467"</f>
        <v>0003467</v>
      </c>
      <c r="G3168">
        <v>1</v>
      </c>
      <c r="H3168" t="str">
        <f>"00000000"</f>
        <v>00000000</v>
      </c>
      <c r="I3168" t="s">
        <v>35</v>
      </c>
      <c r="J3168"/>
      <c r="K3168">
        <v>18.01</v>
      </c>
      <c r="L3168">
        <v>0.0</v>
      </c>
      <c r="M3168"/>
      <c r="N3168"/>
      <c r="O3168">
        <v>3.24</v>
      </c>
      <c r="P3168">
        <v>0.0</v>
      </c>
      <c r="Q3168">
        <v>21.25</v>
      </c>
      <c r="R3168"/>
      <c r="S3168"/>
      <c r="T3168"/>
      <c r="U3168"/>
      <c r="V3168"/>
      <c r="W3168">
        <v>18</v>
      </c>
    </row>
    <row r="3169" spans="1:23">
      <c r="A3169"/>
      <c r="B3169" t="s">
        <v>82</v>
      </c>
      <c r="C3169" t="s">
        <v>82</v>
      </c>
      <c r="D3169" t="s">
        <v>33</v>
      </c>
      <c r="E3169" t="s">
        <v>34</v>
      </c>
      <c r="F3169" t="str">
        <f>"0003468"</f>
        <v>0003468</v>
      </c>
      <c r="G3169">
        <v>1</v>
      </c>
      <c r="H3169" t="str">
        <f>"00000000"</f>
        <v>00000000</v>
      </c>
      <c r="I3169" t="s">
        <v>35</v>
      </c>
      <c r="J3169"/>
      <c r="K3169">
        <v>69.1</v>
      </c>
      <c r="L3169">
        <v>15.54</v>
      </c>
      <c r="M3169"/>
      <c r="N3169"/>
      <c r="O3169">
        <v>12.44</v>
      </c>
      <c r="P3169">
        <v>0.4</v>
      </c>
      <c r="Q3169">
        <v>97.49</v>
      </c>
      <c r="R3169"/>
      <c r="S3169"/>
      <c r="T3169"/>
      <c r="U3169"/>
      <c r="V3169"/>
      <c r="W3169">
        <v>18</v>
      </c>
    </row>
    <row r="3170" spans="1:23">
      <c r="A3170"/>
      <c r="B3170" t="s">
        <v>82</v>
      </c>
      <c r="C3170" t="s">
        <v>82</v>
      </c>
      <c r="D3170" t="s">
        <v>33</v>
      </c>
      <c r="E3170" t="s">
        <v>34</v>
      </c>
      <c r="F3170" t="str">
        <f>"0003469"</f>
        <v>0003469</v>
      </c>
      <c r="G3170">
        <v>1</v>
      </c>
      <c r="H3170" t="str">
        <f>"00000000"</f>
        <v>00000000</v>
      </c>
      <c r="I3170" t="s">
        <v>35</v>
      </c>
      <c r="J3170"/>
      <c r="K3170">
        <v>5.25</v>
      </c>
      <c r="L3170">
        <v>0.0</v>
      </c>
      <c r="M3170"/>
      <c r="N3170"/>
      <c r="O3170">
        <v>0.95</v>
      </c>
      <c r="P3170">
        <v>0.0</v>
      </c>
      <c r="Q3170">
        <v>6.2</v>
      </c>
      <c r="R3170"/>
      <c r="S3170"/>
      <c r="T3170"/>
      <c r="U3170"/>
      <c r="V3170"/>
      <c r="W3170">
        <v>18</v>
      </c>
    </row>
    <row r="3171" spans="1:23">
      <c r="A3171"/>
      <c r="B3171" t="s">
        <v>82</v>
      </c>
      <c r="C3171" t="s">
        <v>82</v>
      </c>
      <c r="D3171" t="s">
        <v>33</v>
      </c>
      <c r="E3171" t="s">
        <v>34</v>
      </c>
      <c r="F3171" t="str">
        <f>"0003470"</f>
        <v>0003470</v>
      </c>
      <c r="G3171">
        <v>1</v>
      </c>
      <c r="H3171" t="str">
        <f>"00000000"</f>
        <v>00000000</v>
      </c>
      <c r="I3171" t="s">
        <v>35</v>
      </c>
      <c r="J3171"/>
      <c r="K3171">
        <v>18.75</v>
      </c>
      <c r="L3171">
        <v>7.09</v>
      </c>
      <c r="M3171"/>
      <c r="N3171"/>
      <c r="O3171">
        <v>3.37</v>
      </c>
      <c r="P3171">
        <v>0.2</v>
      </c>
      <c r="Q3171">
        <v>29.41</v>
      </c>
      <c r="R3171"/>
      <c r="S3171"/>
      <c r="T3171"/>
      <c r="U3171"/>
      <c r="V3171"/>
      <c r="W3171">
        <v>18</v>
      </c>
    </row>
    <row r="3172" spans="1:23">
      <c r="A3172"/>
      <c r="B3172" t="s">
        <v>82</v>
      </c>
      <c r="C3172" t="s">
        <v>82</v>
      </c>
      <c r="D3172" t="s">
        <v>33</v>
      </c>
      <c r="E3172" t="s">
        <v>34</v>
      </c>
      <c r="F3172" t="str">
        <f>"0003471"</f>
        <v>0003471</v>
      </c>
      <c r="G3172">
        <v>1</v>
      </c>
      <c r="H3172" t="str">
        <f>"00000000"</f>
        <v>00000000</v>
      </c>
      <c r="I3172" t="s">
        <v>35</v>
      </c>
      <c r="J3172"/>
      <c r="K3172">
        <v>7.12</v>
      </c>
      <c r="L3172">
        <v>0.0</v>
      </c>
      <c r="M3172"/>
      <c r="N3172"/>
      <c r="O3172">
        <v>1.28</v>
      </c>
      <c r="P3172">
        <v>0.0</v>
      </c>
      <c r="Q3172">
        <v>8.4</v>
      </c>
      <c r="R3172"/>
      <c r="S3172"/>
      <c r="T3172"/>
      <c r="U3172"/>
      <c r="V3172"/>
      <c r="W3172">
        <v>18</v>
      </c>
    </row>
    <row r="3173" spans="1:23">
      <c r="A3173"/>
      <c r="B3173" t="s">
        <v>82</v>
      </c>
      <c r="C3173" t="s">
        <v>82</v>
      </c>
      <c r="D3173" t="s">
        <v>33</v>
      </c>
      <c r="E3173" t="s">
        <v>34</v>
      </c>
      <c r="F3173" t="str">
        <f>"0003472"</f>
        <v>0003472</v>
      </c>
      <c r="G3173">
        <v>1</v>
      </c>
      <c r="H3173" t="str">
        <f>"00000000"</f>
        <v>00000000</v>
      </c>
      <c r="I3173" t="s">
        <v>35</v>
      </c>
      <c r="J3173"/>
      <c r="K3173">
        <v>2.98</v>
      </c>
      <c r="L3173">
        <v>0.0</v>
      </c>
      <c r="M3173"/>
      <c r="N3173"/>
      <c r="O3173">
        <v>0.54</v>
      </c>
      <c r="P3173">
        <v>0.2</v>
      </c>
      <c r="Q3173">
        <v>3.72</v>
      </c>
      <c r="R3173"/>
      <c r="S3173"/>
      <c r="T3173"/>
      <c r="U3173"/>
      <c r="V3173"/>
      <c r="W3173">
        <v>18</v>
      </c>
    </row>
    <row r="3174" spans="1:23">
      <c r="A3174"/>
      <c r="B3174" t="s">
        <v>82</v>
      </c>
      <c r="C3174" t="s">
        <v>82</v>
      </c>
      <c r="D3174" t="s">
        <v>33</v>
      </c>
      <c r="E3174" t="s">
        <v>34</v>
      </c>
      <c r="F3174" t="str">
        <f>"0003473"</f>
        <v>0003473</v>
      </c>
      <c r="G3174">
        <v>1</v>
      </c>
      <c r="H3174" t="str">
        <f>"00000000"</f>
        <v>00000000</v>
      </c>
      <c r="I3174" t="s">
        <v>35</v>
      </c>
      <c r="J3174"/>
      <c r="K3174">
        <v>51.78</v>
      </c>
      <c r="L3174">
        <v>1.79</v>
      </c>
      <c r="M3174"/>
      <c r="N3174"/>
      <c r="O3174">
        <v>9.32</v>
      </c>
      <c r="P3174">
        <v>0.0</v>
      </c>
      <c r="Q3174">
        <v>62.89</v>
      </c>
      <c r="R3174"/>
      <c r="S3174"/>
      <c r="T3174"/>
      <c r="U3174"/>
      <c r="V3174"/>
      <c r="W3174">
        <v>18</v>
      </c>
    </row>
    <row r="3175" spans="1:23">
      <c r="A3175"/>
      <c r="B3175" t="s">
        <v>82</v>
      </c>
      <c r="C3175" t="s">
        <v>82</v>
      </c>
      <c r="D3175" t="s">
        <v>33</v>
      </c>
      <c r="E3175" t="s">
        <v>34</v>
      </c>
      <c r="F3175" t="str">
        <f>"0003474"</f>
        <v>0003474</v>
      </c>
      <c r="G3175">
        <v>1</v>
      </c>
      <c r="H3175" t="str">
        <f>"00000000"</f>
        <v>00000000</v>
      </c>
      <c r="I3175" t="s">
        <v>35</v>
      </c>
      <c r="J3175"/>
      <c r="K3175">
        <v>53.73</v>
      </c>
      <c r="L3175">
        <v>0.0</v>
      </c>
      <c r="M3175"/>
      <c r="N3175"/>
      <c r="O3175">
        <v>9.67</v>
      </c>
      <c r="P3175">
        <v>0.0</v>
      </c>
      <c r="Q3175">
        <v>63.4</v>
      </c>
      <c r="R3175"/>
      <c r="S3175"/>
      <c r="T3175"/>
      <c r="U3175"/>
      <c r="V3175"/>
      <c r="W3175">
        <v>18</v>
      </c>
    </row>
    <row r="3176" spans="1:23">
      <c r="A3176"/>
      <c r="B3176" t="s">
        <v>82</v>
      </c>
      <c r="C3176" t="s">
        <v>82</v>
      </c>
      <c r="D3176" t="s">
        <v>33</v>
      </c>
      <c r="E3176" t="s">
        <v>34</v>
      </c>
      <c r="F3176" t="str">
        <f>"0003475"</f>
        <v>0003475</v>
      </c>
      <c r="G3176">
        <v>1</v>
      </c>
      <c r="H3176" t="str">
        <f>"00000000"</f>
        <v>00000000</v>
      </c>
      <c r="I3176" t="s">
        <v>35</v>
      </c>
      <c r="J3176"/>
      <c r="K3176">
        <v>3.79</v>
      </c>
      <c r="L3176">
        <v>0.0</v>
      </c>
      <c r="M3176"/>
      <c r="N3176"/>
      <c r="O3176">
        <v>0.68</v>
      </c>
      <c r="P3176">
        <v>0.0</v>
      </c>
      <c r="Q3176">
        <v>4.48</v>
      </c>
      <c r="R3176"/>
      <c r="S3176"/>
      <c r="T3176"/>
      <c r="U3176"/>
      <c r="V3176"/>
      <c r="W3176">
        <v>18</v>
      </c>
    </row>
    <row r="3177" spans="1:23">
      <c r="A3177"/>
      <c r="B3177" t="s">
        <v>82</v>
      </c>
      <c r="C3177" t="s">
        <v>82</v>
      </c>
      <c r="D3177" t="s">
        <v>33</v>
      </c>
      <c r="E3177" t="s">
        <v>34</v>
      </c>
      <c r="F3177" t="str">
        <f>"0003476"</f>
        <v>0003476</v>
      </c>
      <c r="G3177">
        <v>1</v>
      </c>
      <c r="H3177" t="str">
        <f>"00000000"</f>
        <v>00000000</v>
      </c>
      <c r="I3177" t="s">
        <v>35</v>
      </c>
      <c r="J3177"/>
      <c r="K3177">
        <v>38.21</v>
      </c>
      <c r="L3177">
        <v>2.94</v>
      </c>
      <c r="M3177"/>
      <c r="N3177"/>
      <c r="O3177">
        <v>6.88</v>
      </c>
      <c r="P3177">
        <v>0.2</v>
      </c>
      <c r="Q3177">
        <v>48.23</v>
      </c>
      <c r="R3177"/>
      <c r="S3177"/>
      <c r="T3177"/>
      <c r="U3177"/>
      <c r="V3177"/>
      <c r="W3177">
        <v>18</v>
      </c>
    </row>
    <row r="3178" spans="1:23">
      <c r="A3178"/>
      <c r="B3178" t="s">
        <v>82</v>
      </c>
      <c r="C3178" t="s">
        <v>82</v>
      </c>
      <c r="D3178" t="s">
        <v>33</v>
      </c>
      <c r="E3178" t="s">
        <v>34</v>
      </c>
      <c r="F3178" t="str">
        <f>"0003477"</f>
        <v>0003477</v>
      </c>
      <c r="G3178">
        <v>1</v>
      </c>
      <c r="H3178" t="str">
        <f>"00000000"</f>
        <v>00000000</v>
      </c>
      <c r="I3178" t="s">
        <v>35</v>
      </c>
      <c r="J3178"/>
      <c r="K3178">
        <v>3.13</v>
      </c>
      <c r="L3178">
        <v>5.42</v>
      </c>
      <c r="M3178"/>
      <c r="N3178"/>
      <c r="O3178">
        <v>0.56</v>
      </c>
      <c r="P3178">
        <v>0.2</v>
      </c>
      <c r="Q3178">
        <v>9.31</v>
      </c>
      <c r="R3178"/>
      <c r="S3178"/>
      <c r="T3178"/>
      <c r="U3178"/>
      <c r="V3178"/>
      <c r="W3178">
        <v>18</v>
      </c>
    </row>
    <row r="3179" spans="1:23">
      <c r="A3179"/>
      <c r="B3179" t="s">
        <v>82</v>
      </c>
      <c r="C3179" t="s">
        <v>82</v>
      </c>
      <c r="D3179" t="s">
        <v>33</v>
      </c>
      <c r="E3179" t="s">
        <v>34</v>
      </c>
      <c r="F3179" t="str">
        <f>"0003478"</f>
        <v>0003478</v>
      </c>
      <c r="G3179">
        <v>1</v>
      </c>
      <c r="H3179" t="str">
        <f>"00000000"</f>
        <v>00000000</v>
      </c>
      <c r="I3179" t="s">
        <v>35</v>
      </c>
      <c r="J3179"/>
      <c r="K3179">
        <v>0.0</v>
      </c>
      <c r="L3179">
        <v>1.8</v>
      </c>
      <c r="M3179"/>
      <c r="N3179"/>
      <c r="O3179">
        <v>0.0</v>
      </c>
      <c r="P3179">
        <v>0.0</v>
      </c>
      <c r="Q3179">
        <v>1.8</v>
      </c>
      <c r="R3179"/>
      <c r="S3179"/>
      <c r="T3179"/>
      <c r="U3179"/>
      <c r="V3179"/>
      <c r="W3179">
        <v>18</v>
      </c>
    </row>
    <row r="3180" spans="1:23">
      <c r="A3180"/>
      <c r="B3180" t="s">
        <v>82</v>
      </c>
      <c r="C3180" t="s">
        <v>82</v>
      </c>
      <c r="D3180" t="s">
        <v>33</v>
      </c>
      <c r="E3180" t="s">
        <v>34</v>
      </c>
      <c r="F3180" t="str">
        <f>"0003479"</f>
        <v>0003479</v>
      </c>
      <c r="G3180">
        <v>1</v>
      </c>
      <c r="H3180" t="str">
        <f>"00000000"</f>
        <v>00000000</v>
      </c>
      <c r="I3180" t="s">
        <v>35</v>
      </c>
      <c r="J3180"/>
      <c r="K3180">
        <v>0.85</v>
      </c>
      <c r="L3180">
        <v>0.0</v>
      </c>
      <c r="M3180"/>
      <c r="N3180"/>
      <c r="O3180">
        <v>0.15</v>
      </c>
      <c r="P3180">
        <v>0.0</v>
      </c>
      <c r="Q3180">
        <v>1.0</v>
      </c>
      <c r="R3180"/>
      <c r="S3180"/>
      <c r="T3180"/>
      <c r="U3180"/>
      <c r="V3180"/>
      <c r="W3180">
        <v>18</v>
      </c>
    </row>
    <row r="3181" spans="1:23">
      <c r="A3181"/>
      <c r="B3181" t="s">
        <v>82</v>
      </c>
      <c r="C3181" t="s">
        <v>82</v>
      </c>
      <c r="D3181" t="s">
        <v>33</v>
      </c>
      <c r="E3181" t="s">
        <v>34</v>
      </c>
      <c r="F3181" t="str">
        <f>"0003480"</f>
        <v>0003480</v>
      </c>
      <c r="G3181">
        <v>1</v>
      </c>
      <c r="H3181" t="str">
        <f>"00000000"</f>
        <v>00000000</v>
      </c>
      <c r="I3181" t="s">
        <v>35</v>
      </c>
      <c r="J3181"/>
      <c r="K3181">
        <v>3.81</v>
      </c>
      <c r="L3181">
        <v>0.0</v>
      </c>
      <c r="M3181"/>
      <c r="N3181"/>
      <c r="O3181">
        <v>0.69</v>
      </c>
      <c r="P3181">
        <v>0.0</v>
      </c>
      <c r="Q3181">
        <v>4.5</v>
      </c>
      <c r="R3181"/>
      <c r="S3181"/>
      <c r="T3181"/>
      <c r="U3181"/>
      <c r="V3181"/>
      <c r="W3181">
        <v>18</v>
      </c>
    </row>
    <row r="3182" spans="1:23">
      <c r="A3182"/>
      <c r="B3182" t="s">
        <v>82</v>
      </c>
      <c r="C3182" t="s">
        <v>82</v>
      </c>
      <c r="D3182" t="s">
        <v>33</v>
      </c>
      <c r="E3182" t="s">
        <v>34</v>
      </c>
      <c r="F3182" t="str">
        <f>"0003481"</f>
        <v>0003481</v>
      </c>
      <c r="G3182">
        <v>1</v>
      </c>
      <c r="H3182" t="str">
        <f>"00000000"</f>
        <v>00000000</v>
      </c>
      <c r="I3182" t="s">
        <v>35</v>
      </c>
      <c r="J3182"/>
      <c r="K3182">
        <v>2.37</v>
      </c>
      <c r="L3182">
        <v>0.0</v>
      </c>
      <c r="M3182"/>
      <c r="N3182"/>
      <c r="O3182">
        <v>0.43</v>
      </c>
      <c r="P3182">
        <v>0.0</v>
      </c>
      <c r="Q3182">
        <v>2.8</v>
      </c>
      <c r="R3182"/>
      <c r="S3182"/>
      <c r="T3182"/>
      <c r="U3182"/>
      <c r="V3182"/>
      <c r="W3182">
        <v>18</v>
      </c>
    </row>
    <row r="3183" spans="1:23">
      <c r="A3183"/>
      <c r="B3183" t="s">
        <v>82</v>
      </c>
      <c r="C3183" t="s">
        <v>82</v>
      </c>
      <c r="D3183" t="s">
        <v>33</v>
      </c>
      <c r="E3183" t="s">
        <v>34</v>
      </c>
      <c r="F3183" t="str">
        <f>"0003482"</f>
        <v>0003482</v>
      </c>
      <c r="G3183">
        <v>1</v>
      </c>
      <c r="H3183" t="str">
        <f>"00000000"</f>
        <v>00000000</v>
      </c>
      <c r="I3183" t="s">
        <v>35</v>
      </c>
      <c r="J3183"/>
      <c r="K3183">
        <v>3.41</v>
      </c>
      <c r="L3183">
        <v>4.42</v>
      </c>
      <c r="M3183"/>
      <c r="N3183"/>
      <c r="O3183">
        <v>0.61</v>
      </c>
      <c r="P3183">
        <v>0.2</v>
      </c>
      <c r="Q3183">
        <v>8.64</v>
      </c>
      <c r="R3183"/>
      <c r="S3183"/>
      <c r="T3183"/>
      <c r="U3183"/>
      <c r="V3183"/>
      <c r="W3183">
        <v>18</v>
      </c>
    </row>
    <row r="3184" spans="1:23">
      <c r="A3184"/>
      <c r="B3184" t="s">
        <v>82</v>
      </c>
      <c r="C3184" t="s">
        <v>82</v>
      </c>
      <c r="D3184" t="s">
        <v>33</v>
      </c>
      <c r="E3184" t="s">
        <v>34</v>
      </c>
      <c r="F3184" t="str">
        <f>"0003483"</f>
        <v>0003483</v>
      </c>
      <c r="G3184">
        <v>1</v>
      </c>
      <c r="H3184" t="str">
        <f>"00000000"</f>
        <v>00000000</v>
      </c>
      <c r="I3184" t="s">
        <v>35</v>
      </c>
      <c r="J3184"/>
      <c r="K3184">
        <v>2.88</v>
      </c>
      <c r="L3184">
        <v>0.0</v>
      </c>
      <c r="M3184"/>
      <c r="N3184"/>
      <c r="O3184">
        <v>0.52</v>
      </c>
      <c r="P3184">
        <v>0.0</v>
      </c>
      <c r="Q3184">
        <v>3.4</v>
      </c>
      <c r="R3184"/>
      <c r="S3184"/>
      <c r="T3184"/>
      <c r="U3184"/>
      <c r="V3184"/>
      <c r="W3184">
        <v>18</v>
      </c>
    </row>
    <row r="3185" spans="1:23">
      <c r="A3185"/>
      <c r="B3185" t="s">
        <v>82</v>
      </c>
      <c r="C3185" t="s">
        <v>82</v>
      </c>
      <c r="D3185" t="s">
        <v>33</v>
      </c>
      <c r="E3185" t="s">
        <v>34</v>
      </c>
      <c r="F3185" t="str">
        <f>"0003484"</f>
        <v>0003484</v>
      </c>
      <c r="G3185">
        <v>1</v>
      </c>
      <c r="H3185" t="str">
        <f>"00000000"</f>
        <v>00000000</v>
      </c>
      <c r="I3185" t="s">
        <v>35</v>
      </c>
      <c r="J3185"/>
      <c r="K3185">
        <v>3.81</v>
      </c>
      <c r="L3185">
        <v>0.0</v>
      </c>
      <c r="M3185"/>
      <c r="N3185"/>
      <c r="O3185">
        <v>0.69</v>
      </c>
      <c r="P3185">
        <v>0.0</v>
      </c>
      <c r="Q3185">
        <v>4.5</v>
      </c>
      <c r="R3185"/>
      <c r="S3185"/>
      <c r="T3185"/>
      <c r="U3185"/>
      <c r="V3185"/>
      <c r="W3185">
        <v>18</v>
      </c>
    </row>
    <row r="3186" spans="1:23">
      <c r="A3186"/>
      <c r="B3186" t="s">
        <v>82</v>
      </c>
      <c r="C3186" t="s">
        <v>82</v>
      </c>
      <c r="D3186" t="s">
        <v>33</v>
      </c>
      <c r="E3186" t="s">
        <v>34</v>
      </c>
      <c r="F3186" t="str">
        <f>"0003485"</f>
        <v>0003485</v>
      </c>
      <c r="G3186">
        <v>1</v>
      </c>
      <c r="H3186" t="str">
        <f>"00000000"</f>
        <v>00000000</v>
      </c>
      <c r="I3186" t="s">
        <v>35</v>
      </c>
      <c r="J3186"/>
      <c r="K3186">
        <v>17.8</v>
      </c>
      <c r="L3186">
        <v>0.0</v>
      </c>
      <c r="M3186"/>
      <c r="N3186"/>
      <c r="O3186">
        <v>3.2</v>
      </c>
      <c r="P3186">
        <v>0.0</v>
      </c>
      <c r="Q3186">
        <v>21.0</v>
      </c>
      <c r="R3186"/>
      <c r="S3186"/>
      <c r="T3186"/>
      <c r="U3186"/>
      <c r="V3186"/>
      <c r="W3186">
        <v>18</v>
      </c>
    </row>
    <row r="3187" spans="1:23">
      <c r="A3187"/>
      <c r="B3187" t="s">
        <v>82</v>
      </c>
      <c r="C3187" t="s">
        <v>82</v>
      </c>
      <c r="D3187" t="s">
        <v>33</v>
      </c>
      <c r="E3187" t="s">
        <v>34</v>
      </c>
      <c r="F3187" t="str">
        <f>"0003486"</f>
        <v>0003486</v>
      </c>
      <c r="G3187">
        <v>1</v>
      </c>
      <c r="H3187" t="str">
        <f>"00000000"</f>
        <v>00000000</v>
      </c>
      <c r="I3187" t="s">
        <v>35</v>
      </c>
      <c r="J3187"/>
      <c r="K3187">
        <v>4.24</v>
      </c>
      <c r="L3187">
        <v>0.0</v>
      </c>
      <c r="M3187"/>
      <c r="N3187"/>
      <c r="O3187">
        <v>0.76</v>
      </c>
      <c r="P3187">
        <v>0.0</v>
      </c>
      <c r="Q3187">
        <v>5.0</v>
      </c>
      <c r="R3187"/>
      <c r="S3187"/>
      <c r="T3187"/>
      <c r="U3187"/>
      <c r="V3187"/>
      <c r="W3187">
        <v>18</v>
      </c>
    </row>
    <row r="3188" spans="1:23">
      <c r="A3188"/>
      <c r="B3188" t="s">
        <v>82</v>
      </c>
      <c r="C3188" t="s">
        <v>82</v>
      </c>
      <c r="D3188" t="s">
        <v>33</v>
      </c>
      <c r="E3188" t="s">
        <v>34</v>
      </c>
      <c r="F3188" t="str">
        <f>"0003487"</f>
        <v>0003487</v>
      </c>
      <c r="G3188">
        <v>1</v>
      </c>
      <c r="H3188" t="str">
        <f>"00000000"</f>
        <v>00000000</v>
      </c>
      <c r="I3188" t="s">
        <v>35</v>
      </c>
      <c r="J3188"/>
      <c r="K3188">
        <v>18.49</v>
      </c>
      <c r="L3188">
        <v>32.02</v>
      </c>
      <c r="M3188"/>
      <c r="N3188"/>
      <c r="O3188">
        <v>3.33</v>
      </c>
      <c r="P3188">
        <v>0.0</v>
      </c>
      <c r="Q3188">
        <v>53.83</v>
      </c>
      <c r="R3188"/>
      <c r="S3188"/>
      <c r="T3188"/>
      <c r="U3188"/>
      <c r="V3188"/>
      <c r="W3188">
        <v>18</v>
      </c>
    </row>
    <row r="3189" spans="1:23">
      <c r="A3189"/>
      <c r="B3189" t="s">
        <v>82</v>
      </c>
      <c r="C3189" t="s">
        <v>82</v>
      </c>
      <c r="D3189" t="s">
        <v>33</v>
      </c>
      <c r="E3189" t="s">
        <v>34</v>
      </c>
      <c r="F3189" t="str">
        <f>"0003488"</f>
        <v>0003488</v>
      </c>
      <c r="G3189">
        <v>1</v>
      </c>
      <c r="H3189" t="str">
        <f>"00000000"</f>
        <v>00000000</v>
      </c>
      <c r="I3189" t="s">
        <v>35</v>
      </c>
      <c r="J3189"/>
      <c r="K3189">
        <v>21.74</v>
      </c>
      <c r="L3189">
        <v>21.89</v>
      </c>
      <c r="M3189"/>
      <c r="N3189"/>
      <c r="O3189">
        <v>3.91</v>
      </c>
      <c r="P3189">
        <v>0.0</v>
      </c>
      <c r="Q3189">
        <v>47.54</v>
      </c>
      <c r="R3189"/>
      <c r="S3189"/>
      <c r="T3189"/>
      <c r="U3189"/>
      <c r="V3189"/>
      <c r="W3189">
        <v>18</v>
      </c>
    </row>
    <row r="3190" spans="1:23">
      <c r="A3190"/>
      <c r="B3190" t="s">
        <v>82</v>
      </c>
      <c r="C3190" t="s">
        <v>82</v>
      </c>
      <c r="D3190" t="s">
        <v>33</v>
      </c>
      <c r="E3190" t="s">
        <v>34</v>
      </c>
      <c r="F3190" t="str">
        <f>"0003489"</f>
        <v>0003489</v>
      </c>
      <c r="G3190">
        <v>1</v>
      </c>
      <c r="H3190" t="str">
        <f>"00000000"</f>
        <v>00000000</v>
      </c>
      <c r="I3190" t="s">
        <v>35</v>
      </c>
      <c r="J3190"/>
      <c r="K3190">
        <v>12.3</v>
      </c>
      <c r="L3190">
        <v>0.0</v>
      </c>
      <c r="M3190"/>
      <c r="N3190"/>
      <c r="O3190">
        <v>2.21</v>
      </c>
      <c r="P3190">
        <v>0.2</v>
      </c>
      <c r="Q3190">
        <v>14.71</v>
      </c>
      <c r="R3190"/>
      <c r="S3190"/>
      <c r="T3190"/>
      <c r="U3190"/>
      <c r="V3190"/>
      <c r="W3190">
        <v>18</v>
      </c>
    </row>
    <row r="3191" spans="1:23">
      <c r="A3191"/>
      <c r="B3191" t="s">
        <v>82</v>
      </c>
      <c r="C3191" t="s">
        <v>82</v>
      </c>
      <c r="D3191" t="s">
        <v>33</v>
      </c>
      <c r="E3191" t="s">
        <v>34</v>
      </c>
      <c r="F3191" t="str">
        <f>"0003490"</f>
        <v>0003490</v>
      </c>
      <c r="G3191">
        <v>1</v>
      </c>
      <c r="H3191" t="str">
        <f>"00000000"</f>
        <v>00000000</v>
      </c>
      <c r="I3191" t="s">
        <v>35</v>
      </c>
      <c r="J3191"/>
      <c r="K3191">
        <v>0.0</v>
      </c>
      <c r="L3191">
        <v>3.34</v>
      </c>
      <c r="M3191"/>
      <c r="N3191"/>
      <c r="O3191">
        <v>0.0</v>
      </c>
      <c r="P3191">
        <v>0.0</v>
      </c>
      <c r="Q3191">
        <v>3.34</v>
      </c>
      <c r="R3191"/>
      <c r="S3191"/>
      <c r="T3191"/>
      <c r="U3191"/>
      <c r="V3191"/>
      <c r="W3191">
        <v>18</v>
      </c>
    </row>
    <row r="3192" spans="1:23">
      <c r="A3192"/>
      <c r="B3192" t="s">
        <v>82</v>
      </c>
      <c r="C3192" t="s">
        <v>82</v>
      </c>
      <c r="D3192" t="s">
        <v>33</v>
      </c>
      <c r="E3192" t="s">
        <v>34</v>
      </c>
      <c r="F3192" t="str">
        <f>"0003491"</f>
        <v>0003491</v>
      </c>
      <c r="G3192">
        <v>1</v>
      </c>
      <c r="H3192" t="str">
        <f>"00000000"</f>
        <v>00000000</v>
      </c>
      <c r="I3192" t="s">
        <v>35</v>
      </c>
      <c r="J3192"/>
      <c r="K3192">
        <v>19.25</v>
      </c>
      <c r="L3192">
        <v>13.19</v>
      </c>
      <c r="M3192"/>
      <c r="N3192"/>
      <c r="O3192">
        <v>3.47</v>
      </c>
      <c r="P3192">
        <v>0.2</v>
      </c>
      <c r="Q3192">
        <v>36.11</v>
      </c>
      <c r="R3192"/>
      <c r="S3192"/>
      <c r="T3192"/>
      <c r="U3192"/>
      <c r="V3192"/>
      <c r="W3192">
        <v>18</v>
      </c>
    </row>
    <row r="3193" spans="1:23">
      <c r="A3193"/>
      <c r="B3193" t="s">
        <v>82</v>
      </c>
      <c r="C3193" t="s">
        <v>82</v>
      </c>
      <c r="D3193" t="s">
        <v>33</v>
      </c>
      <c r="E3193" t="s">
        <v>34</v>
      </c>
      <c r="F3193" t="str">
        <f>"0003492"</f>
        <v>0003492</v>
      </c>
      <c r="G3193">
        <v>1</v>
      </c>
      <c r="H3193" t="str">
        <f>"00000000"</f>
        <v>00000000</v>
      </c>
      <c r="I3193" t="s">
        <v>35</v>
      </c>
      <c r="J3193"/>
      <c r="K3193">
        <v>1.69</v>
      </c>
      <c r="L3193">
        <v>4.61</v>
      </c>
      <c r="M3193"/>
      <c r="N3193"/>
      <c r="O3193">
        <v>0.31</v>
      </c>
      <c r="P3193">
        <v>0.0</v>
      </c>
      <c r="Q3193">
        <v>6.61</v>
      </c>
      <c r="R3193"/>
      <c r="S3193"/>
      <c r="T3193"/>
      <c r="U3193"/>
      <c r="V3193"/>
      <c r="W3193">
        <v>18</v>
      </c>
    </row>
    <row r="3194" spans="1:23">
      <c r="A3194"/>
      <c r="B3194" t="s">
        <v>82</v>
      </c>
      <c r="C3194" t="s">
        <v>82</v>
      </c>
      <c r="D3194" t="s">
        <v>33</v>
      </c>
      <c r="E3194" t="s">
        <v>34</v>
      </c>
      <c r="F3194" t="str">
        <f>"0003493"</f>
        <v>0003493</v>
      </c>
      <c r="G3194">
        <v>1</v>
      </c>
      <c r="H3194" t="str">
        <f>"00000000"</f>
        <v>00000000</v>
      </c>
      <c r="I3194" t="s">
        <v>35</v>
      </c>
      <c r="J3194"/>
      <c r="K3194">
        <v>8.73</v>
      </c>
      <c r="L3194">
        <v>0.0</v>
      </c>
      <c r="M3194"/>
      <c r="N3194"/>
      <c r="O3194">
        <v>1.57</v>
      </c>
      <c r="P3194">
        <v>0.0</v>
      </c>
      <c r="Q3194">
        <v>10.3</v>
      </c>
      <c r="R3194"/>
      <c r="S3194"/>
      <c r="T3194"/>
      <c r="U3194"/>
      <c r="V3194"/>
      <c r="W3194">
        <v>18</v>
      </c>
    </row>
    <row r="3195" spans="1:23">
      <c r="A3195"/>
      <c r="B3195" t="s">
        <v>82</v>
      </c>
      <c r="C3195" t="s">
        <v>82</v>
      </c>
      <c r="D3195" t="s">
        <v>33</v>
      </c>
      <c r="E3195" t="s">
        <v>34</v>
      </c>
      <c r="F3195" t="str">
        <f>"0003494"</f>
        <v>0003494</v>
      </c>
      <c r="G3195">
        <v>1</v>
      </c>
      <c r="H3195" t="str">
        <f>"00000000"</f>
        <v>00000000</v>
      </c>
      <c r="I3195" t="s">
        <v>35</v>
      </c>
      <c r="J3195"/>
      <c r="K3195">
        <v>13.24</v>
      </c>
      <c r="L3195">
        <v>0.0</v>
      </c>
      <c r="M3195"/>
      <c r="N3195"/>
      <c r="O3195">
        <v>2.38</v>
      </c>
      <c r="P3195">
        <v>0.2</v>
      </c>
      <c r="Q3195">
        <v>15.82</v>
      </c>
      <c r="R3195"/>
      <c r="S3195"/>
      <c r="T3195"/>
      <c r="U3195"/>
      <c r="V3195"/>
      <c r="W3195">
        <v>18</v>
      </c>
    </row>
    <row r="3196" spans="1:23">
      <c r="A3196"/>
      <c r="B3196" t="s">
        <v>82</v>
      </c>
      <c r="C3196" t="s">
        <v>82</v>
      </c>
      <c r="D3196" t="s">
        <v>33</v>
      </c>
      <c r="E3196" t="s">
        <v>34</v>
      </c>
      <c r="F3196" t="str">
        <f>"0003495"</f>
        <v>0003495</v>
      </c>
      <c r="G3196">
        <v>1</v>
      </c>
      <c r="H3196" t="str">
        <f>"00000000"</f>
        <v>00000000</v>
      </c>
      <c r="I3196" t="s">
        <v>35</v>
      </c>
      <c r="J3196"/>
      <c r="K3196">
        <v>2.46</v>
      </c>
      <c r="L3196">
        <v>0.0</v>
      </c>
      <c r="M3196"/>
      <c r="N3196"/>
      <c r="O3196">
        <v>0.44</v>
      </c>
      <c r="P3196">
        <v>0.0</v>
      </c>
      <c r="Q3196">
        <v>2.9</v>
      </c>
      <c r="R3196"/>
      <c r="S3196"/>
      <c r="T3196"/>
      <c r="U3196"/>
      <c r="V3196"/>
      <c r="W3196">
        <v>18</v>
      </c>
    </row>
    <row r="3197" spans="1:23">
      <c r="A3197"/>
      <c r="B3197" t="s">
        <v>82</v>
      </c>
      <c r="C3197" t="s">
        <v>82</v>
      </c>
      <c r="D3197" t="s">
        <v>33</v>
      </c>
      <c r="E3197" t="s">
        <v>34</v>
      </c>
      <c r="F3197" t="str">
        <f>"0003496"</f>
        <v>0003496</v>
      </c>
      <c r="G3197">
        <v>1</v>
      </c>
      <c r="H3197" t="str">
        <f>"00000000"</f>
        <v>00000000</v>
      </c>
      <c r="I3197" t="s">
        <v>35</v>
      </c>
      <c r="J3197"/>
      <c r="K3197">
        <v>10.71</v>
      </c>
      <c r="L3197">
        <v>2.4</v>
      </c>
      <c r="M3197"/>
      <c r="N3197"/>
      <c r="O3197">
        <v>1.93</v>
      </c>
      <c r="P3197">
        <v>0.2</v>
      </c>
      <c r="Q3197">
        <v>15.24</v>
      </c>
      <c r="R3197"/>
      <c r="S3197"/>
      <c r="T3197"/>
      <c r="U3197"/>
      <c r="V3197"/>
      <c r="W3197">
        <v>18</v>
      </c>
    </row>
    <row r="3198" spans="1:23">
      <c r="A3198"/>
      <c r="B3198" t="s">
        <v>82</v>
      </c>
      <c r="C3198" t="s">
        <v>82</v>
      </c>
      <c r="D3198" t="s">
        <v>33</v>
      </c>
      <c r="E3198" t="s">
        <v>34</v>
      </c>
      <c r="F3198" t="str">
        <f>"0003497"</f>
        <v>0003497</v>
      </c>
      <c r="G3198">
        <v>1</v>
      </c>
      <c r="H3198" t="str">
        <f>"00000000"</f>
        <v>00000000</v>
      </c>
      <c r="I3198" t="s">
        <v>35</v>
      </c>
      <c r="J3198"/>
      <c r="K3198">
        <v>16.29</v>
      </c>
      <c r="L3198">
        <v>0.0</v>
      </c>
      <c r="M3198"/>
      <c r="N3198"/>
      <c r="O3198">
        <v>2.93</v>
      </c>
      <c r="P3198">
        <v>0.2</v>
      </c>
      <c r="Q3198">
        <v>19.42</v>
      </c>
      <c r="R3198"/>
      <c r="S3198"/>
      <c r="T3198"/>
      <c r="U3198"/>
      <c r="V3198"/>
      <c r="W3198">
        <v>18</v>
      </c>
    </row>
    <row r="3199" spans="1:23">
      <c r="A3199"/>
      <c r="B3199" t="s">
        <v>82</v>
      </c>
      <c r="C3199" t="s">
        <v>82</v>
      </c>
      <c r="D3199" t="s">
        <v>33</v>
      </c>
      <c r="E3199" t="s">
        <v>34</v>
      </c>
      <c r="F3199" t="str">
        <f>"0003498"</f>
        <v>0003498</v>
      </c>
      <c r="G3199">
        <v>1</v>
      </c>
      <c r="H3199" t="str">
        <f>"00000000"</f>
        <v>00000000</v>
      </c>
      <c r="I3199" t="s">
        <v>35</v>
      </c>
      <c r="J3199"/>
      <c r="K3199">
        <v>0.0</v>
      </c>
      <c r="L3199">
        <v>4.03</v>
      </c>
      <c r="M3199"/>
      <c r="N3199"/>
      <c r="O3199">
        <v>0.0</v>
      </c>
      <c r="P3199">
        <v>0.0</v>
      </c>
      <c r="Q3199">
        <v>4.03</v>
      </c>
      <c r="R3199"/>
      <c r="S3199"/>
      <c r="T3199"/>
      <c r="U3199"/>
      <c r="V3199"/>
      <c r="W3199">
        <v>18</v>
      </c>
    </row>
    <row r="3200" spans="1:23">
      <c r="A3200"/>
      <c r="B3200" t="s">
        <v>82</v>
      </c>
      <c r="C3200" t="s">
        <v>82</v>
      </c>
      <c r="D3200" t="s">
        <v>33</v>
      </c>
      <c r="E3200" t="s">
        <v>34</v>
      </c>
      <c r="F3200" t="str">
        <f>"0003499"</f>
        <v>0003499</v>
      </c>
      <c r="G3200">
        <v>1</v>
      </c>
      <c r="H3200" t="str">
        <f>"00000000"</f>
        <v>00000000</v>
      </c>
      <c r="I3200" t="s">
        <v>35</v>
      </c>
      <c r="J3200"/>
      <c r="K3200">
        <v>14.57</v>
      </c>
      <c r="L3200">
        <v>1.1</v>
      </c>
      <c r="M3200"/>
      <c r="N3200"/>
      <c r="O3200">
        <v>2.62</v>
      </c>
      <c r="P3200">
        <v>0.2</v>
      </c>
      <c r="Q3200">
        <v>18.49</v>
      </c>
      <c r="R3200"/>
      <c r="S3200"/>
      <c r="T3200"/>
      <c r="U3200"/>
      <c r="V3200"/>
      <c r="W3200">
        <v>18</v>
      </c>
    </row>
    <row r="3201" spans="1:23">
      <c r="A3201"/>
      <c r="B3201" t="s">
        <v>82</v>
      </c>
      <c r="C3201" t="s">
        <v>82</v>
      </c>
      <c r="D3201" t="s">
        <v>33</v>
      </c>
      <c r="E3201" t="s">
        <v>34</v>
      </c>
      <c r="F3201" t="str">
        <f>"0003500"</f>
        <v>0003500</v>
      </c>
      <c r="G3201">
        <v>1</v>
      </c>
      <c r="H3201" t="str">
        <f>"00000000"</f>
        <v>00000000</v>
      </c>
      <c r="I3201" t="s">
        <v>35</v>
      </c>
      <c r="J3201"/>
      <c r="K3201">
        <v>34.34</v>
      </c>
      <c r="L3201">
        <v>0.0</v>
      </c>
      <c r="M3201"/>
      <c r="N3201"/>
      <c r="O3201">
        <v>6.18</v>
      </c>
      <c r="P3201">
        <v>0.2</v>
      </c>
      <c r="Q3201">
        <v>40.72</v>
      </c>
      <c r="R3201"/>
      <c r="S3201"/>
      <c r="T3201"/>
      <c r="U3201"/>
      <c r="V3201"/>
      <c r="W3201">
        <v>18</v>
      </c>
    </row>
    <row r="3202" spans="1:23">
      <c r="A3202"/>
      <c r="B3202" t="s">
        <v>82</v>
      </c>
      <c r="C3202" t="s">
        <v>82</v>
      </c>
      <c r="D3202" t="s">
        <v>33</v>
      </c>
      <c r="E3202" t="s">
        <v>34</v>
      </c>
      <c r="F3202" t="str">
        <f>"0003501"</f>
        <v>0003501</v>
      </c>
      <c r="G3202">
        <v>1</v>
      </c>
      <c r="H3202" t="str">
        <f>"00000000"</f>
        <v>00000000</v>
      </c>
      <c r="I3202" t="s">
        <v>35</v>
      </c>
      <c r="J3202"/>
      <c r="K3202">
        <v>8.75</v>
      </c>
      <c r="L3202">
        <v>3.65</v>
      </c>
      <c r="M3202"/>
      <c r="N3202"/>
      <c r="O3202">
        <v>1.57</v>
      </c>
      <c r="P3202">
        <v>0.2</v>
      </c>
      <c r="Q3202">
        <v>14.17</v>
      </c>
      <c r="R3202"/>
      <c r="S3202"/>
      <c r="T3202"/>
      <c r="U3202"/>
      <c r="V3202"/>
      <c r="W3202">
        <v>18</v>
      </c>
    </row>
    <row r="3203" spans="1:23">
      <c r="A3203"/>
      <c r="B3203" t="s">
        <v>82</v>
      </c>
      <c r="C3203" t="s">
        <v>82</v>
      </c>
      <c r="D3203" t="s">
        <v>33</v>
      </c>
      <c r="E3203" t="s">
        <v>34</v>
      </c>
      <c r="F3203" t="str">
        <f>"0003502"</f>
        <v>0003502</v>
      </c>
      <c r="G3203">
        <v>1</v>
      </c>
      <c r="H3203" t="str">
        <f>"00000000"</f>
        <v>00000000</v>
      </c>
      <c r="I3203" t="s">
        <v>35</v>
      </c>
      <c r="J3203"/>
      <c r="K3203">
        <v>11.37</v>
      </c>
      <c r="L3203">
        <v>0.0</v>
      </c>
      <c r="M3203"/>
      <c r="N3203"/>
      <c r="O3203">
        <v>2.05</v>
      </c>
      <c r="P3203">
        <v>0.2</v>
      </c>
      <c r="Q3203">
        <v>13.62</v>
      </c>
      <c r="R3203"/>
      <c r="S3203"/>
      <c r="T3203"/>
      <c r="U3203"/>
      <c r="V3203"/>
      <c r="W3203">
        <v>18</v>
      </c>
    </row>
    <row r="3204" spans="1:23">
      <c r="A3204"/>
      <c r="B3204" t="s">
        <v>82</v>
      </c>
      <c r="C3204" t="s">
        <v>82</v>
      </c>
      <c r="D3204" t="s">
        <v>33</v>
      </c>
      <c r="E3204" t="s">
        <v>34</v>
      </c>
      <c r="F3204" t="str">
        <f>"0003503"</f>
        <v>0003503</v>
      </c>
      <c r="G3204">
        <v>1</v>
      </c>
      <c r="H3204" t="str">
        <f>"00000000"</f>
        <v>00000000</v>
      </c>
      <c r="I3204" t="s">
        <v>35</v>
      </c>
      <c r="J3204"/>
      <c r="K3204">
        <v>1.78</v>
      </c>
      <c r="L3204">
        <v>0.0</v>
      </c>
      <c r="M3204"/>
      <c r="N3204"/>
      <c r="O3204">
        <v>0.32</v>
      </c>
      <c r="P3204">
        <v>0.0</v>
      </c>
      <c r="Q3204">
        <v>2.1</v>
      </c>
      <c r="R3204"/>
      <c r="S3204"/>
      <c r="T3204"/>
      <c r="U3204"/>
      <c r="V3204"/>
      <c r="W3204">
        <v>18</v>
      </c>
    </row>
    <row r="3205" spans="1:23">
      <c r="A3205"/>
      <c r="B3205" t="s">
        <v>82</v>
      </c>
      <c r="C3205" t="s">
        <v>82</v>
      </c>
      <c r="D3205" t="s">
        <v>33</v>
      </c>
      <c r="E3205" t="s">
        <v>34</v>
      </c>
      <c r="F3205" t="str">
        <f>"0003504"</f>
        <v>0003504</v>
      </c>
      <c r="G3205">
        <v>1</v>
      </c>
      <c r="H3205" t="str">
        <f>"00000000"</f>
        <v>00000000</v>
      </c>
      <c r="I3205" t="s">
        <v>35</v>
      </c>
      <c r="J3205"/>
      <c r="K3205">
        <v>32.11</v>
      </c>
      <c r="L3205">
        <v>3.0</v>
      </c>
      <c r="M3205"/>
      <c r="N3205"/>
      <c r="O3205">
        <v>5.78</v>
      </c>
      <c r="P3205">
        <v>0.0</v>
      </c>
      <c r="Q3205">
        <v>40.89</v>
      </c>
      <c r="R3205"/>
      <c r="S3205"/>
      <c r="T3205"/>
      <c r="U3205"/>
      <c r="V3205"/>
      <c r="W3205">
        <v>18</v>
      </c>
    </row>
    <row r="3206" spans="1:23">
      <c r="A3206"/>
      <c r="B3206" t="s">
        <v>83</v>
      </c>
      <c r="C3206" t="s">
        <v>83</v>
      </c>
      <c r="D3206" t="s">
        <v>33</v>
      </c>
      <c r="E3206" t="s">
        <v>34</v>
      </c>
      <c r="F3206" t="str">
        <f>"0003505"</f>
        <v>0003505</v>
      </c>
      <c r="G3206">
        <v>1</v>
      </c>
      <c r="H3206" t="str">
        <f>"00000000"</f>
        <v>00000000</v>
      </c>
      <c r="I3206" t="s">
        <v>35</v>
      </c>
      <c r="J3206"/>
      <c r="K3206">
        <v>0.85</v>
      </c>
      <c r="L3206">
        <v>0.0</v>
      </c>
      <c r="M3206"/>
      <c r="N3206"/>
      <c r="O3206">
        <v>0.15</v>
      </c>
      <c r="P3206">
        <v>0.0</v>
      </c>
      <c r="Q3206">
        <v>1.0</v>
      </c>
      <c r="R3206"/>
      <c r="S3206"/>
      <c r="T3206"/>
      <c r="U3206"/>
      <c r="V3206"/>
      <c r="W3206">
        <v>18</v>
      </c>
    </row>
    <row r="3207" spans="1:23">
      <c r="A3207"/>
      <c r="B3207" t="s">
        <v>83</v>
      </c>
      <c r="C3207" t="s">
        <v>83</v>
      </c>
      <c r="D3207" t="s">
        <v>33</v>
      </c>
      <c r="E3207" t="s">
        <v>34</v>
      </c>
      <c r="F3207" t="str">
        <f>"0003506"</f>
        <v>0003506</v>
      </c>
      <c r="G3207">
        <v>1</v>
      </c>
      <c r="H3207" t="str">
        <f>"00000000"</f>
        <v>00000000</v>
      </c>
      <c r="I3207" t="s">
        <v>35</v>
      </c>
      <c r="J3207"/>
      <c r="K3207">
        <v>4.24</v>
      </c>
      <c r="L3207">
        <v>12.12</v>
      </c>
      <c r="M3207"/>
      <c r="N3207"/>
      <c r="O3207">
        <v>0.76</v>
      </c>
      <c r="P3207">
        <v>0.2</v>
      </c>
      <c r="Q3207">
        <v>17.32</v>
      </c>
      <c r="R3207"/>
      <c r="S3207"/>
      <c r="T3207"/>
      <c r="U3207"/>
      <c r="V3207"/>
      <c r="W3207">
        <v>18</v>
      </c>
    </row>
    <row r="3208" spans="1:23">
      <c r="A3208"/>
      <c r="B3208" t="s">
        <v>83</v>
      </c>
      <c r="C3208" t="s">
        <v>83</v>
      </c>
      <c r="D3208" t="s">
        <v>33</v>
      </c>
      <c r="E3208" t="s">
        <v>34</v>
      </c>
      <c r="F3208" t="str">
        <f>"0003507"</f>
        <v>0003507</v>
      </c>
      <c r="G3208">
        <v>1</v>
      </c>
      <c r="H3208" t="str">
        <f>"00000000"</f>
        <v>00000000</v>
      </c>
      <c r="I3208" t="s">
        <v>35</v>
      </c>
      <c r="J3208"/>
      <c r="K3208">
        <v>0.0</v>
      </c>
      <c r="L3208">
        <v>0.95</v>
      </c>
      <c r="M3208"/>
      <c r="N3208"/>
      <c r="O3208">
        <v>0.0</v>
      </c>
      <c r="P3208">
        <v>0.0</v>
      </c>
      <c r="Q3208">
        <v>0.95</v>
      </c>
      <c r="R3208"/>
      <c r="S3208"/>
      <c r="T3208"/>
      <c r="U3208"/>
      <c r="V3208"/>
      <c r="W3208">
        <v>18</v>
      </c>
    </row>
    <row r="3209" spans="1:23">
      <c r="A3209"/>
      <c r="B3209" t="s">
        <v>83</v>
      </c>
      <c r="C3209" t="s">
        <v>83</v>
      </c>
      <c r="D3209" t="s">
        <v>33</v>
      </c>
      <c r="E3209" t="s">
        <v>34</v>
      </c>
      <c r="F3209" t="str">
        <f>"0003508"</f>
        <v>0003508</v>
      </c>
      <c r="G3209">
        <v>1</v>
      </c>
      <c r="H3209" t="str">
        <f>"00000000"</f>
        <v>00000000</v>
      </c>
      <c r="I3209" t="s">
        <v>35</v>
      </c>
      <c r="J3209"/>
      <c r="K3209">
        <v>1.02</v>
      </c>
      <c r="L3209">
        <v>0.0</v>
      </c>
      <c r="M3209"/>
      <c r="N3209"/>
      <c r="O3209">
        <v>0.18</v>
      </c>
      <c r="P3209">
        <v>0.0</v>
      </c>
      <c r="Q3209">
        <v>1.2</v>
      </c>
      <c r="R3209"/>
      <c r="S3209"/>
      <c r="T3209"/>
      <c r="U3209"/>
      <c r="V3209"/>
      <c r="W3209">
        <v>18</v>
      </c>
    </row>
    <row r="3210" spans="1:23">
      <c r="A3210"/>
      <c r="B3210" t="s">
        <v>83</v>
      </c>
      <c r="C3210" t="s">
        <v>83</v>
      </c>
      <c r="D3210" t="s">
        <v>33</v>
      </c>
      <c r="E3210" t="s">
        <v>34</v>
      </c>
      <c r="F3210" t="str">
        <f>"0003509"</f>
        <v>0003509</v>
      </c>
      <c r="G3210">
        <v>1</v>
      </c>
      <c r="H3210" t="str">
        <f>"00000000"</f>
        <v>00000000</v>
      </c>
      <c r="I3210" t="s">
        <v>35</v>
      </c>
      <c r="J3210"/>
      <c r="K3210">
        <v>9.93</v>
      </c>
      <c r="L3210">
        <v>0.0</v>
      </c>
      <c r="M3210"/>
      <c r="N3210"/>
      <c r="O3210">
        <v>1.79</v>
      </c>
      <c r="P3210">
        <v>0.2</v>
      </c>
      <c r="Q3210">
        <v>11.92</v>
      </c>
      <c r="R3210"/>
      <c r="S3210"/>
      <c r="T3210"/>
      <c r="U3210"/>
      <c r="V3210"/>
      <c r="W3210">
        <v>18</v>
      </c>
    </row>
    <row r="3211" spans="1:23">
      <c r="A3211"/>
      <c r="B3211" t="s">
        <v>83</v>
      </c>
      <c r="C3211" t="s">
        <v>83</v>
      </c>
      <c r="D3211" t="s">
        <v>33</v>
      </c>
      <c r="E3211" t="s">
        <v>34</v>
      </c>
      <c r="F3211" t="str">
        <f>"0003510"</f>
        <v>0003510</v>
      </c>
      <c r="G3211">
        <v>1</v>
      </c>
      <c r="H3211" t="str">
        <f>"00000000"</f>
        <v>00000000</v>
      </c>
      <c r="I3211" t="s">
        <v>35</v>
      </c>
      <c r="J3211"/>
      <c r="K3211">
        <v>8.17</v>
      </c>
      <c r="L3211">
        <v>10.56</v>
      </c>
      <c r="M3211"/>
      <c r="N3211"/>
      <c r="O3211">
        <v>1.47</v>
      </c>
      <c r="P3211">
        <v>0.2</v>
      </c>
      <c r="Q3211">
        <v>20.4</v>
      </c>
      <c r="R3211"/>
      <c r="S3211"/>
      <c r="T3211"/>
      <c r="U3211"/>
      <c r="V3211"/>
      <c r="W3211">
        <v>18</v>
      </c>
    </row>
    <row r="3212" spans="1:23">
      <c r="A3212"/>
      <c r="B3212" t="s">
        <v>83</v>
      </c>
      <c r="C3212" t="s">
        <v>83</v>
      </c>
      <c r="D3212" t="s">
        <v>33</v>
      </c>
      <c r="E3212" t="s">
        <v>34</v>
      </c>
      <c r="F3212" t="str">
        <f>"0003511"</f>
        <v>0003511</v>
      </c>
      <c r="G3212">
        <v>1</v>
      </c>
      <c r="H3212" t="str">
        <f>"00000000"</f>
        <v>00000000</v>
      </c>
      <c r="I3212" t="s">
        <v>35</v>
      </c>
      <c r="J3212"/>
      <c r="K3212">
        <v>2.12</v>
      </c>
      <c r="L3212">
        <v>0.0</v>
      </c>
      <c r="M3212"/>
      <c r="N3212"/>
      <c r="O3212">
        <v>0.38</v>
      </c>
      <c r="P3212">
        <v>0.0</v>
      </c>
      <c r="Q3212">
        <v>2.5</v>
      </c>
      <c r="R3212"/>
      <c r="S3212"/>
      <c r="T3212"/>
      <c r="U3212"/>
      <c r="V3212"/>
      <c r="W3212">
        <v>18</v>
      </c>
    </row>
    <row r="3213" spans="1:23">
      <c r="A3213"/>
      <c r="B3213" t="s">
        <v>83</v>
      </c>
      <c r="C3213" t="s">
        <v>83</v>
      </c>
      <c r="D3213" t="s">
        <v>33</v>
      </c>
      <c r="E3213" t="s">
        <v>34</v>
      </c>
      <c r="F3213" t="str">
        <f>"0003512"</f>
        <v>0003512</v>
      </c>
      <c r="G3213">
        <v>1</v>
      </c>
      <c r="H3213" t="str">
        <f>"00000000"</f>
        <v>00000000</v>
      </c>
      <c r="I3213" t="s">
        <v>35</v>
      </c>
      <c r="J3213"/>
      <c r="K3213">
        <v>11.16</v>
      </c>
      <c r="L3213">
        <v>1.54</v>
      </c>
      <c r="M3213"/>
      <c r="N3213"/>
      <c r="O3213">
        <v>2.01</v>
      </c>
      <c r="P3213">
        <v>0.2</v>
      </c>
      <c r="Q3213">
        <v>14.91</v>
      </c>
      <c r="R3213"/>
      <c r="S3213"/>
      <c r="T3213"/>
      <c r="U3213"/>
      <c r="V3213"/>
      <c r="W3213">
        <v>18</v>
      </c>
    </row>
    <row r="3214" spans="1:23">
      <c r="A3214"/>
      <c r="B3214" t="s">
        <v>83</v>
      </c>
      <c r="C3214" t="s">
        <v>83</v>
      </c>
      <c r="D3214" t="s">
        <v>33</v>
      </c>
      <c r="E3214" t="s">
        <v>34</v>
      </c>
      <c r="F3214" t="str">
        <f>"0003513"</f>
        <v>0003513</v>
      </c>
      <c r="G3214">
        <v>1</v>
      </c>
      <c r="H3214" t="str">
        <f>"00000000"</f>
        <v>00000000</v>
      </c>
      <c r="I3214" t="s">
        <v>35</v>
      </c>
      <c r="J3214"/>
      <c r="K3214">
        <v>2.54</v>
      </c>
      <c r="L3214">
        <v>0.0</v>
      </c>
      <c r="M3214"/>
      <c r="N3214"/>
      <c r="O3214">
        <v>0.46</v>
      </c>
      <c r="P3214">
        <v>0.0</v>
      </c>
      <c r="Q3214">
        <v>3.0</v>
      </c>
      <c r="R3214"/>
      <c r="S3214"/>
      <c r="T3214"/>
      <c r="U3214"/>
      <c r="V3214"/>
      <c r="W3214">
        <v>18</v>
      </c>
    </row>
    <row r="3215" spans="1:23">
      <c r="A3215"/>
      <c r="B3215" t="s">
        <v>83</v>
      </c>
      <c r="C3215" t="s">
        <v>83</v>
      </c>
      <c r="D3215" t="s">
        <v>33</v>
      </c>
      <c r="E3215" t="s">
        <v>34</v>
      </c>
      <c r="F3215" t="str">
        <f>"0003514"</f>
        <v>0003514</v>
      </c>
      <c r="G3215">
        <v>1</v>
      </c>
      <c r="H3215" t="str">
        <f>"00000000"</f>
        <v>00000000</v>
      </c>
      <c r="I3215" t="s">
        <v>35</v>
      </c>
      <c r="J3215"/>
      <c r="K3215">
        <v>2.57</v>
      </c>
      <c r="L3215">
        <v>5.63</v>
      </c>
      <c r="M3215"/>
      <c r="N3215"/>
      <c r="O3215">
        <v>0.46</v>
      </c>
      <c r="P3215">
        <v>0.0</v>
      </c>
      <c r="Q3215">
        <v>8.67</v>
      </c>
      <c r="R3215"/>
      <c r="S3215"/>
      <c r="T3215"/>
      <c r="U3215"/>
      <c r="V3215"/>
      <c r="W3215">
        <v>18</v>
      </c>
    </row>
    <row r="3216" spans="1:23">
      <c r="A3216"/>
      <c r="B3216" t="s">
        <v>83</v>
      </c>
      <c r="C3216" t="s">
        <v>83</v>
      </c>
      <c r="D3216" t="s">
        <v>33</v>
      </c>
      <c r="E3216" t="s">
        <v>34</v>
      </c>
      <c r="F3216" t="str">
        <f>"0003515"</f>
        <v>0003515</v>
      </c>
      <c r="G3216">
        <v>1</v>
      </c>
      <c r="H3216" t="str">
        <f>"00000000"</f>
        <v>00000000</v>
      </c>
      <c r="I3216" t="s">
        <v>35</v>
      </c>
      <c r="J3216"/>
      <c r="K3216">
        <v>8.31</v>
      </c>
      <c r="L3216">
        <v>0.0</v>
      </c>
      <c r="M3216"/>
      <c r="N3216"/>
      <c r="O3216">
        <v>1.49</v>
      </c>
      <c r="P3216">
        <v>0.0</v>
      </c>
      <c r="Q3216">
        <v>9.8</v>
      </c>
      <c r="R3216"/>
      <c r="S3216"/>
      <c r="T3216"/>
      <c r="U3216"/>
      <c r="V3216"/>
      <c r="W3216">
        <v>18</v>
      </c>
    </row>
    <row r="3217" spans="1:23">
      <c r="A3217"/>
      <c r="B3217" t="s">
        <v>83</v>
      </c>
      <c r="C3217" t="s">
        <v>83</v>
      </c>
      <c r="D3217" t="s">
        <v>33</v>
      </c>
      <c r="E3217" t="s">
        <v>34</v>
      </c>
      <c r="F3217" t="str">
        <f>"0003516"</f>
        <v>0003516</v>
      </c>
      <c r="G3217">
        <v>1</v>
      </c>
      <c r="H3217" t="str">
        <f>"00000000"</f>
        <v>00000000</v>
      </c>
      <c r="I3217" t="s">
        <v>35</v>
      </c>
      <c r="J3217"/>
      <c r="K3217">
        <v>31.67</v>
      </c>
      <c r="L3217">
        <v>8.42</v>
      </c>
      <c r="M3217"/>
      <c r="N3217"/>
      <c r="O3217">
        <v>5.7</v>
      </c>
      <c r="P3217">
        <v>0.2</v>
      </c>
      <c r="Q3217">
        <v>45.99</v>
      </c>
      <c r="R3217"/>
      <c r="S3217"/>
      <c r="T3217"/>
      <c r="U3217"/>
      <c r="V3217"/>
      <c r="W3217">
        <v>18</v>
      </c>
    </row>
    <row r="3218" spans="1:23">
      <c r="A3218"/>
      <c r="B3218" t="s">
        <v>83</v>
      </c>
      <c r="C3218" t="s">
        <v>83</v>
      </c>
      <c r="D3218" t="s">
        <v>33</v>
      </c>
      <c r="E3218" t="s">
        <v>34</v>
      </c>
      <c r="F3218" t="str">
        <f>"0003517"</f>
        <v>0003517</v>
      </c>
      <c r="G3218">
        <v>1</v>
      </c>
      <c r="H3218" t="str">
        <f>"00000000"</f>
        <v>00000000</v>
      </c>
      <c r="I3218" t="s">
        <v>35</v>
      </c>
      <c r="J3218"/>
      <c r="K3218">
        <v>3.81</v>
      </c>
      <c r="L3218">
        <v>1.39</v>
      </c>
      <c r="M3218"/>
      <c r="N3218"/>
      <c r="O3218">
        <v>0.69</v>
      </c>
      <c r="P3218">
        <v>0.0</v>
      </c>
      <c r="Q3218">
        <v>5.89</v>
      </c>
      <c r="R3218"/>
      <c r="S3218"/>
      <c r="T3218"/>
      <c r="U3218"/>
      <c r="V3218"/>
      <c r="W3218">
        <v>18</v>
      </c>
    </row>
    <row r="3219" spans="1:23">
      <c r="A3219"/>
      <c r="B3219" t="s">
        <v>83</v>
      </c>
      <c r="C3219" t="s">
        <v>83</v>
      </c>
      <c r="D3219" t="s">
        <v>33</v>
      </c>
      <c r="E3219" t="s">
        <v>34</v>
      </c>
      <c r="F3219" t="str">
        <f>"0003518"</f>
        <v>0003518</v>
      </c>
      <c r="G3219">
        <v>1</v>
      </c>
      <c r="H3219" t="str">
        <f>"00000000"</f>
        <v>00000000</v>
      </c>
      <c r="I3219" t="s">
        <v>35</v>
      </c>
      <c r="J3219"/>
      <c r="K3219">
        <v>0.94</v>
      </c>
      <c r="L3219">
        <v>2.04</v>
      </c>
      <c r="M3219"/>
      <c r="N3219"/>
      <c r="O3219">
        <v>0.17</v>
      </c>
      <c r="P3219">
        <v>0.0</v>
      </c>
      <c r="Q3219">
        <v>3.15</v>
      </c>
      <c r="R3219"/>
      <c r="S3219"/>
      <c r="T3219"/>
      <c r="U3219"/>
      <c r="V3219"/>
      <c r="W3219">
        <v>18</v>
      </c>
    </row>
    <row r="3220" spans="1:23">
      <c r="A3220"/>
      <c r="B3220" t="s">
        <v>83</v>
      </c>
      <c r="C3220" t="s">
        <v>83</v>
      </c>
      <c r="D3220" t="s">
        <v>33</v>
      </c>
      <c r="E3220" t="s">
        <v>34</v>
      </c>
      <c r="F3220" t="str">
        <f>"0003519"</f>
        <v>0003519</v>
      </c>
      <c r="G3220">
        <v>1</v>
      </c>
      <c r="H3220" t="str">
        <f>"00000000"</f>
        <v>00000000</v>
      </c>
      <c r="I3220" t="s">
        <v>35</v>
      </c>
      <c r="J3220"/>
      <c r="K3220">
        <v>2.71</v>
      </c>
      <c r="L3220">
        <v>1.88</v>
      </c>
      <c r="M3220"/>
      <c r="N3220"/>
      <c r="O3220">
        <v>0.49</v>
      </c>
      <c r="P3220">
        <v>0.0</v>
      </c>
      <c r="Q3220">
        <v>5.08</v>
      </c>
      <c r="R3220"/>
      <c r="S3220"/>
      <c r="T3220"/>
      <c r="U3220"/>
      <c r="V3220"/>
      <c r="W3220">
        <v>18</v>
      </c>
    </row>
    <row r="3221" spans="1:23">
      <c r="A3221"/>
      <c r="B3221" t="s">
        <v>83</v>
      </c>
      <c r="C3221" t="s">
        <v>83</v>
      </c>
      <c r="D3221" t="s">
        <v>33</v>
      </c>
      <c r="E3221" t="s">
        <v>34</v>
      </c>
      <c r="F3221" t="str">
        <f>"0003520"</f>
        <v>0003520</v>
      </c>
      <c r="G3221">
        <v>1</v>
      </c>
      <c r="H3221" t="str">
        <f>"00000000"</f>
        <v>00000000</v>
      </c>
      <c r="I3221" t="s">
        <v>35</v>
      </c>
      <c r="J3221"/>
      <c r="K3221">
        <v>6.55</v>
      </c>
      <c r="L3221">
        <v>19.3</v>
      </c>
      <c r="M3221"/>
      <c r="N3221"/>
      <c r="O3221">
        <v>1.18</v>
      </c>
      <c r="P3221">
        <v>0.0</v>
      </c>
      <c r="Q3221">
        <v>27.02</v>
      </c>
      <c r="R3221"/>
      <c r="S3221"/>
      <c r="T3221"/>
      <c r="U3221"/>
      <c r="V3221"/>
      <c r="W3221">
        <v>18</v>
      </c>
    </row>
    <row r="3222" spans="1:23">
      <c r="A3222"/>
      <c r="B3222" t="s">
        <v>83</v>
      </c>
      <c r="C3222" t="s">
        <v>83</v>
      </c>
      <c r="D3222" t="s">
        <v>33</v>
      </c>
      <c r="E3222" t="s">
        <v>34</v>
      </c>
      <c r="F3222" t="str">
        <f>"0003521"</f>
        <v>0003521</v>
      </c>
      <c r="G3222">
        <v>1</v>
      </c>
      <c r="H3222" t="str">
        <f>"00000000"</f>
        <v>00000000</v>
      </c>
      <c r="I3222" t="s">
        <v>35</v>
      </c>
      <c r="J3222"/>
      <c r="K3222">
        <v>22.38</v>
      </c>
      <c r="L3222">
        <v>10.4</v>
      </c>
      <c r="M3222"/>
      <c r="N3222"/>
      <c r="O3222">
        <v>4.03</v>
      </c>
      <c r="P3222">
        <v>0.2</v>
      </c>
      <c r="Q3222">
        <v>37.01</v>
      </c>
      <c r="R3222"/>
      <c r="S3222"/>
      <c r="T3222"/>
      <c r="U3222"/>
      <c r="V3222"/>
      <c r="W3222">
        <v>18</v>
      </c>
    </row>
    <row r="3223" spans="1:23">
      <c r="A3223"/>
      <c r="B3223" t="s">
        <v>83</v>
      </c>
      <c r="C3223" t="s">
        <v>83</v>
      </c>
      <c r="D3223" t="s">
        <v>33</v>
      </c>
      <c r="E3223" t="s">
        <v>34</v>
      </c>
      <c r="F3223" t="str">
        <f>"0003522"</f>
        <v>0003522</v>
      </c>
      <c r="G3223">
        <v>1</v>
      </c>
      <c r="H3223" t="str">
        <f>"00000000"</f>
        <v>00000000</v>
      </c>
      <c r="I3223" t="s">
        <v>35</v>
      </c>
      <c r="J3223"/>
      <c r="K3223">
        <v>10.06</v>
      </c>
      <c r="L3223">
        <v>6.4</v>
      </c>
      <c r="M3223"/>
      <c r="N3223"/>
      <c r="O3223">
        <v>1.81</v>
      </c>
      <c r="P3223">
        <v>0.2</v>
      </c>
      <c r="Q3223">
        <v>18.47</v>
      </c>
      <c r="R3223"/>
      <c r="S3223"/>
      <c r="T3223"/>
      <c r="U3223"/>
      <c r="V3223"/>
      <c r="W3223">
        <v>18</v>
      </c>
    </row>
    <row r="3224" spans="1:23">
      <c r="A3224"/>
      <c r="B3224" t="s">
        <v>83</v>
      </c>
      <c r="C3224" t="s">
        <v>83</v>
      </c>
      <c r="D3224" t="s">
        <v>33</v>
      </c>
      <c r="E3224" t="s">
        <v>34</v>
      </c>
      <c r="F3224" t="str">
        <f>"0003523"</f>
        <v>0003523</v>
      </c>
      <c r="G3224">
        <v>1</v>
      </c>
      <c r="H3224" t="str">
        <f>"00000000"</f>
        <v>00000000</v>
      </c>
      <c r="I3224" t="s">
        <v>35</v>
      </c>
      <c r="J3224"/>
      <c r="K3224">
        <v>0.42</v>
      </c>
      <c r="L3224">
        <v>1.9</v>
      </c>
      <c r="M3224"/>
      <c r="N3224"/>
      <c r="O3224">
        <v>0.08</v>
      </c>
      <c r="P3224">
        <v>0.0</v>
      </c>
      <c r="Q3224">
        <v>2.4</v>
      </c>
      <c r="R3224"/>
      <c r="S3224"/>
      <c r="T3224"/>
      <c r="U3224"/>
      <c r="V3224"/>
      <c r="W3224">
        <v>18</v>
      </c>
    </row>
    <row r="3225" spans="1:23">
      <c r="A3225"/>
      <c r="B3225" t="s">
        <v>83</v>
      </c>
      <c r="C3225" t="s">
        <v>83</v>
      </c>
      <c r="D3225" t="s">
        <v>33</v>
      </c>
      <c r="E3225" t="s">
        <v>34</v>
      </c>
      <c r="F3225" t="str">
        <f>"0003524"</f>
        <v>0003524</v>
      </c>
      <c r="G3225">
        <v>1</v>
      </c>
      <c r="H3225" t="str">
        <f>"00000000"</f>
        <v>00000000</v>
      </c>
      <c r="I3225" t="s">
        <v>35</v>
      </c>
      <c r="J3225"/>
      <c r="K3225">
        <v>3.39</v>
      </c>
      <c r="L3225">
        <v>0.0</v>
      </c>
      <c r="M3225"/>
      <c r="N3225"/>
      <c r="O3225">
        <v>0.61</v>
      </c>
      <c r="P3225">
        <v>0.0</v>
      </c>
      <c r="Q3225">
        <v>4.0</v>
      </c>
      <c r="R3225"/>
      <c r="S3225"/>
      <c r="T3225"/>
      <c r="U3225"/>
      <c r="V3225"/>
      <c r="W3225">
        <v>18</v>
      </c>
    </row>
    <row r="3226" spans="1:23">
      <c r="A3226"/>
      <c r="B3226" t="s">
        <v>83</v>
      </c>
      <c r="C3226" t="s">
        <v>83</v>
      </c>
      <c r="D3226" t="s">
        <v>33</v>
      </c>
      <c r="E3226" t="s">
        <v>34</v>
      </c>
      <c r="F3226" t="str">
        <f>"0003525"</f>
        <v>0003525</v>
      </c>
      <c r="G3226">
        <v>1</v>
      </c>
      <c r="H3226" t="str">
        <f>"00000000"</f>
        <v>00000000</v>
      </c>
      <c r="I3226" t="s">
        <v>35</v>
      </c>
      <c r="J3226"/>
      <c r="K3226">
        <v>1.27</v>
      </c>
      <c r="L3226">
        <v>0.0</v>
      </c>
      <c r="M3226"/>
      <c r="N3226"/>
      <c r="O3226">
        <v>0.23</v>
      </c>
      <c r="P3226">
        <v>0.0</v>
      </c>
      <c r="Q3226">
        <v>1.5</v>
      </c>
      <c r="R3226"/>
      <c r="S3226"/>
      <c r="T3226"/>
      <c r="U3226"/>
      <c r="V3226"/>
      <c r="W3226">
        <v>18</v>
      </c>
    </row>
    <row r="3227" spans="1:23">
      <c r="A3227"/>
      <c r="B3227" t="s">
        <v>83</v>
      </c>
      <c r="C3227" t="s">
        <v>83</v>
      </c>
      <c r="D3227" t="s">
        <v>33</v>
      </c>
      <c r="E3227" t="s">
        <v>34</v>
      </c>
      <c r="F3227" t="str">
        <f>"0003526"</f>
        <v>0003526</v>
      </c>
      <c r="G3227">
        <v>1</v>
      </c>
      <c r="H3227" t="str">
        <f>"00000000"</f>
        <v>00000000</v>
      </c>
      <c r="I3227" t="s">
        <v>35</v>
      </c>
      <c r="J3227"/>
      <c r="K3227">
        <v>3.39</v>
      </c>
      <c r="L3227">
        <v>1.51</v>
      </c>
      <c r="M3227"/>
      <c r="N3227"/>
      <c r="O3227">
        <v>0.61</v>
      </c>
      <c r="P3227">
        <v>0.0</v>
      </c>
      <c r="Q3227">
        <v>5.51</v>
      </c>
      <c r="R3227"/>
      <c r="S3227"/>
      <c r="T3227"/>
      <c r="U3227"/>
      <c r="V3227"/>
      <c r="W3227">
        <v>18</v>
      </c>
    </row>
    <row r="3228" spans="1:23">
      <c r="A3228"/>
      <c r="B3228" t="s">
        <v>83</v>
      </c>
      <c r="C3228" t="s">
        <v>83</v>
      </c>
      <c r="D3228" t="s">
        <v>33</v>
      </c>
      <c r="E3228" t="s">
        <v>34</v>
      </c>
      <c r="F3228" t="str">
        <f>"0003527"</f>
        <v>0003527</v>
      </c>
      <c r="G3228">
        <v>1</v>
      </c>
      <c r="H3228" t="str">
        <f>"00000000"</f>
        <v>00000000</v>
      </c>
      <c r="I3228" t="s">
        <v>35</v>
      </c>
      <c r="J3228"/>
      <c r="K3228">
        <v>6.82</v>
      </c>
      <c r="L3228">
        <v>0.0</v>
      </c>
      <c r="M3228"/>
      <c r="N3228"/>
      <c r="O3228">
        <v>1.23</v>
      </c>
      <c r="P3228">
        <v>0.0</v>
      </c>
      <c r="Q3228">
        <v>8.05</v>
      </c>
      <c r="R3228"/>
      <c r="S3228"/>
      <c r="T3228"/>
      <c r="U3228"/>
      <c r="V3228"/>
      <c r="W3228">
        <v>18</v>
      </c>
    </row>
    <row r="3229" spans="1:23">
      <c r="A3229"/>
      <c r="B3229" t="s">
        <v>83</v>
      </c>
      <c r="C3229" t="s">
        <v>83</v>
      </c>
      <c r="D3229" t="s">
        <v>33</v>
      </c>
      <c r="E3229" t="s">
        <v>34</v>
      </c>
      <c r="F3229" t="str">
        <f>"0003528"</f>
        <v>0003528</v>
      </c>
      <c r="G3229">
        <v>1</v>
      </c>
      <c r="H3229" t="str">
        <f>"00000000"</f>
        <v>00000000</v>
      </c>
      <c r="I3229" t="s">
        <v>35</v>
      </c>
      <c r="J3229"/>
      <c r="K3229">
        <v>0.02</v>
      </c>
      <c r="L3229">
        <v>0.0</v>
      </c>
      <c r="M3229"/>
      <c r="N3229"/>
      <c r="O3229">
        <v>0.0</v>
      </c>
      <c r="P3229">
        <v>0.2</v>
      </c>
      <c r="Q3229">
        <v>0.22</v>
      </c>
      <c r="R3229"/>
      <c r="S3229"/>
      <c r="T3229"/>
      <c r="U3229"/>
      <c r="V3229"/>
      <c r="W3229">
        <v>18</v>
      </c>
    </row>
    <row r="3230" spans="1:23">
      <c r="A3230"/>
      <c r="B3230" t="s">
        <v>83</v>
      </c>
      <c r="C3230" t="s">
        <v>83</v>
      </c>
      <c r="D3230" t="s">
        <v>33</v>
      </c>
      <c r="E3230" t="s">
        <v>34</v>
      </c>
      <c r="F3230" t="str">
        <f>"0003529"</f>
        <v>0003529</v>
      </c>
      <c r="G3230">
        <v>1</v>
      </c>
      <c r="H3230" t="str">
        <f>"00000000"</f>
        <v>00000000</v>
      </c>
      <c r="I3230" t="s">
        <v>35</v>
      </c>
      <c r="J3230"/>
      <c r="K3230">
        <v>10.59</v>
      </c>
      <c r="L3230">
        <v>0.0</v>
      </c>
      <c r="M3230"/>
      <c r="N3230"/>
      <c r="O3230">
        <v>1.91</v>
      </c>
      <c r="P3230">
        <v>0.0</v>
      </c>
      <c r="Q3230">
        <v>12.5</v>
      </c>
      <c r="R3230"/>
      <c r="S3230"/>
      <c r="T3230"/>
      <c r="U3230"/>
      <c r="V3230"/>
      <c r="W3230">
        <v>18</v>
      </c>
    </row>
    <row r="3231" spans="1:23">
      <c r="A3231"/>
      <c r="B3231" t="s">
        <v>83</v>
      </c>
      <c r="C3231" t="s">
        <v>83</v>
      </c>
      <c r="D3231" t="s">
        <v>33</v>
      </c>
      <c r="E3231" t="s">
        <v>34</v>
      </c>
      <c r="F3231" t="str">
        <f>"0003530"</f>
        <v>0003530</v>
      </c>
      <c r="G3231">
        <v>1</v>
      </c>
      <c r="H3231" t="str">
        <f>"00000000"</f>
        <v>00000000</v>
      </c>
      <c r="I3231" t="s">
        <v>35</v>
      </c>
      <c r="J3231"/>
      <c r="K3231">
        <v>3.05</v>
      </c>
      <c r="L3231">
        <v>0.0</v>
      </c>
      <c r="M3231"/>
      <c r="N3231"/>
      <c r="O3231">
        <v>0.55</v>
      </c>
      <c r="P3231">
        <v>0.0</v>
      </c>
      <c r="Q3231">
        <v>3.6</v>
      </c>
      <c r="R3231"/>
      <c r="S3231"/>
      <c r="T3231"/>
      <c r="U3231"/>
      <c r="V3231"/>
      <c r="W3231">
        <v>18</v>
      </c>
    </row>
    <row r="3232" spans="1:23">
      <c r="A3232"/>
      <c r="B3232" t="s">
        <v>83</v>
      </c>
      <c r="C3232" t="s">
        <v>83</v>
      </c>
      <c r="D3232" t="s">
        <v>33</v>
      </c>
      <c r="E3232" t="s">
        <v>34</v>
      </c>
      <c r="F3232" t="str">
        <f>"0003531"</f>
        <v>0003531</v>
      </c>
      <c r="G3232">
        <v>1</v>
      </c>
      <c r="H3232" t="str">
        <f>"00000000"</f>
        <v>00000000</v>
      </c>
      <c r="I3232" t="s">
        <v>35</v>
      </c>
      <c r="J3232"/>
      <c r="K3232">
        <v>4.24</v>
      </c>
      <c r="L3232">
        <v>0.0</v>
      </c>
      <c r="M3232"/>
      <c r="N3232"/>
      <c r="O3232">
        <v>0.76</v>
      </c>
      <c r="P3232">
        <v>0.0</v>
      </c>
      <c r="Q3232">
        <v>5.0</v>
      </c>
      <c r="R3232"/>
      <c r="S3232"/>
      <c r="T3232"/>
      <c r="U3232"/>
      <c r="V3232"/>
      <c r="W3232">
        <v>18</v>
      </c>
    </row>
    <row r="3233" spans="1:23">
      <c r="A3233"/>
      <c r="B3233" t="s">
        <v>83</v>
      </c>
      <c r="C3233" t="s">
        <v>83</v>
      </c>
      <c r="D3233" t="s">
        <v>33</v>
      </c>
      <c r="E3233" t="s">
        <v>34</v>
      </c>
      <c r="F3233" t="str">
        <f>"0003532"</f>
        <v>0003532</v>
      </c>
      <c r="G3233">
        <v>1</v>
      </c>
      <c r="H3233" t="str">
        <f>"00000000"</f>
        <v>00000000</v>
      </c>
      <c r="I3233" t="s">
        <v>35</v>
      </c>
      <c r="J3233"/>
      <c r="K3233">
        <v>7.47</v>
      </c>
      <c r="L3233">
        <v>4.52</v>
      </c>
      <c r="M3233"/>
      <c r="N3233"/>
      <c r="O3233">
        <v>1.35</v>
      </c>
      <c r="P3233">
        <v>0.2</v>
      </c>
      <c r="Q3233">
        <v>13.54</v>
      </c>
      <c r="R3233"/>
      <c r="S3233"/>
      <c r="T3233"/>
      <c r="U3233"/>
      <c r="V3233"/>
      <c r="W3233">
        <v>18</v>
      </c>
    </row>
    <row r="3234" spans="1:23">
      <c r="A3234"/>
      <c r="B3234" t="s">
        <v>83</v>
      </c>
      <c r="C3234" t="s">
        <v>83</v>
      </c>
      <c r="D3234" t="s">
        <v>33</v>
      </c>
      <c r="E3234" t="s">
        <v>34</v>
      </c>
      <c r="F3234" t="str">
        <f>"0003533"</f>
        <v>0003533</v>
      </c>
      <c r="G3234">
        <v>1</v>
      </c>
      <c r="H3234" t="str">
        <f>"00000000"</f>
        <v>00000000</v>
      </c>
      <c r="I3234" t="s">
        <v>35</v>
      </c>
      <c r="J3234"/>
      <c r="K3234">
        <v>8.32</v>
      </c>
      <c r="L3234">
        <v>11.31</v>
      </c>
      <c r="M3234"/>
      <c r="N3234"/>
      <c r="O3234">
        <v>1.5</v>
      </c>
      <c r="P3234">
        <v>0.2</v>
      </c>
      <c r="Q3234">
        <v>21.33</v>
      </c>
      <c r="R3234"/>
      <c r="S3234"/>
      <c r="T3234"/>
      <c r="U3234"/>
      <c r="V3234"/>
      <c r="W3234">
        <v>18</v>
      </c>
    </row>
    <row r="3235" spans="1:23">
      <c r="A3235"/>
      <c r="B3235" t="s">
        <v>83</v>
      </c>
      <c r="C3235" t="s">
        <v>83</v>
      </c>
      <c r="D3235" t="s">
        <v>33</v>
      </c>
      <c r="E3235" t="s">
        <v>34</v>
      </c>
      <c r="F3235" t="str">
        <f>"0003534"</f>
        <v>0003534</v>
      </c>
      <c r="G3235">
        <v>1</v>
      </c>
      <c r="H3235" t="str">
        <f>"00000000"</f>
        <v>00000000</v>
      </c>
      <c r="I3235" t="s">
        <v>35</v>
      </c>
      <c r="J3235"/>
      <c r="K3235">
        <v>36.38</v>
      </c>
      <c r="L3235">
        <v>12.0</v>
      </c>
      <c r="M3235"/>
      <c r="N3235"/>
      <c r="O3235">
        <v>6.55</v>
      </c>
      <c r="P3235">
        <v>0.2</v>
      </c>
      <c r="Q3235">
        <v>55.13</v>
      </c>
      <c r="R3235"/>
      <c r="S3235"/>
      <c r="T3235"/>
      <c r="U3235"/>
      <c r="V3235"/>
      <c r="W3235">
        <v>18</v>
      </c>
    </row>
    <row r="3236" spans="1:23">
      <c r="A3236"/>
      <c r="B3236" t="s">
        <v>83</v>
      </c>
      <c r="C3236" t="s">
        <v>83</v>
      </c>
      <c r="D3236" t="s">
        <v>33</v>
      </c>
      <c r="E3236" t="s">
        <v>34</v>
      </c>
      <c r="F3236" t="str">
        <f>"0003535"</f>
        <v>0003535</v>
      </c>
      <c r="G3236">
        <v>1</v>
      </c>
      <c r="H3236" t="str">
        <f>"00000000"</f>
        <v>00000000</v>
      </c>
      <c r="I3236" t="s">
        <v>35</v>
      </c>
      <c r="J3236"/>
      <c r="K3236">
        <v>16.86</v>
      </c>
      <c r="L3236">
        <v>0.0</v>
      </c>
      <c r="M3236"/>
      <c r="N3236"/>
      <c r="O3236">
        <v>3.04</v>
      </c>
      <c r="P3236">
        <v>0.0</v>
      </c>
      <c r="Q3236">
        <v>19.9</v>
      </c>
      <c r="R3236"/>
      <c r="S3236"/>
      <c r="T3236"/>
      <c r="U3236"/>
      <c r="V3236"/>
      <c r="W3236">
        <v>18</v>
      </c>
    </row>
    <row r="3237" spans="1:23">
      <c r="A3237"/>
      <c r="B3237" t="s">
        <v>83</v>
      </c>
      <c r="C3237" t="s">
        <v>83</v>
      </c>
      <c r="D3237" t="s">
        <v>33</v>
      </c>
      <c r="E3237" t="s">
        <v>34</v>
      </c>
      <c r="F3237" t="str">
        <f>"0003536"</f>
        <v>0003536</v>
      </c>
      <c r="G3237">
        <v>1</v>
      </c>
      <c r="H3237" t="str">
        <f>"00000000"</f>
        <v>00000000</v>
      </c>
      <c r="I3237" t="s">
        <v>35</v>
      </c>
      <c r="J3237"/>
      <c r="K3237">
        <v>8.22</v>
      </c>
      <c r="L3237">
        <v>3.36</v>
      </c>
      <c r="M3237"/>
      <c r="N3237"/>
      <c r="O3237">
        <v>1.48</v>
      </c>
      <c r="P3237">
        <v>0.0</v>
      </c>
      <c r="Q3237">
        <v>13.06</v>
      </c>
      <c r="R3237"/>
      <c r="S3237"/>
      <c r="T3237"/>
      <c r="U3237"/>
      <c r="V3237"/>
      <c r="W3237">
        <v>18</v>
      </c>
    </row>
    <row r="3238" spans="1:23">
      <c r="A3238"/>
      <c r="B3238" t="s">
        <v>83</v>
      </c>
      <c r="C3238" t="s">
        <v>83</v>
      </c>
      <c r="D3238" t="s">
        <v>33</v>
      </c>
      <c r="E3238" t="s">
        <v>34</v>
      </c>
      <c r="F3238" t="str">
        <f>"0003537"</f>
        <v>0003537</v>
      </c>
      <c r="G3238">
        <v>1</v>
      </c>
      <c r="H3238" t="str">
        <f>"00000000"</f>
        <v>00000000</v>
      </c>
      <c r="I3238" t="s">
        <v>35</v>
      </c>
      <c r="J3238"/>
      <c r="K3238">
        <v>35.22</v>
      </c>
      <c r="L3238">
        <v>19.0</v>
      </c>
      <c r="M3238"/>
      <c r="N3238"/>
      <c r="O3238">
        <v>6.34</v>
      </c>
      <c r="P3238">
        <v>0.2</v>
      </c>
      <c r="Q3238">
        <v>60.76</v>
      </c>
      <c r="R3238"/>
      <c r="S3238"/>
      <c r="T3238"/>
      <c r="U3238"/>
      <c r="V3238"/>
      <c r="W3238">
        <v>18</v>
      </c>
    </row>
    <row r="3239" spans="1:23">
      <c r="A3239"/>
      <c r="B3239" t="s">
        <v>83</v>
      </c>
      <c r="C3239" t="s">
        <v>83</v>
      </c>
      <c r="D3239" t="s">
        <v>33</v>
      </c>
      <c r="E3239" t="s">
        <v>34</v>
      </c>
      <c r="F3239" t="str">
        <f>"0003538"</f>
        <v>0003538</v>
      </c>
      <c r="G3239">
        <v>1</v>
      </c>
      <c r="H3239" t="str">
        <f>"00000000"</f>
        <v>00000000</v>
      </c>
      <c r="I3239" t="s">
        <v>35</v>
      </c>
      <c r="J3239"/>
      <c r="K3239">
        <v>79.44</v>
      </c>
      <c r="L3239">
        <v>33.88</v>
      </c>
      <c r="M3239"/>
      <c r="N3239"/>
      <c r="O3239">
        <v>14.3</v>
      </c>
      <c r="P3239">
        <v>1.0</v>
      </c>
      <c r="Q3239">
        <v>128.62</v>
      </c>
      <c r="R3239"/>
      <c r="S3239"/>
      <c r="T3239"/>
      <c r="U3239"/>
      <c r="V3239"/>
      <c r="W3239">
        <v>18</v>
      </c>
    </row>
    <row r="3240" spans="1:23">
      <c r="A3240"/>
      <c r="B3240" t="s">
        <v>83</v>
      </c>
      <c r="C3240" t="s">
        <v>83</v>
      </c>
      <c r="D3240" t="s">
        <v>33</v>
      </c>
      <c r="E3240" t="s">
        <v>34</v>
      </c>
      <c r="F3240" t="str">
        <f>"0003539"</f>
        <v>0003539</v>
      </c>
      <c r="G3240">
        <v>1</v>
      </c>
      <c r="H3240" t="str">
        <f>"00000000"</f>
        <v>00000000</v>
      </c>
      <c r="I3240" t="s">
        <v>35</v>
      </c>
      <c r="J3240"/>
      <c r="K3240">
        <v>0.0</v>
      </c>
      <c r="L3240">
        <v>1.57</v>
      </c>
      <c r="M3240"/>
      <c r="N3240"/>
      <c r="O3240">
        <v>0.0</v>
      </c>
      <c r="P3240">
        <v>0.0</v>
      </c>
      <c r="Q3240">
        <v>1.57</v>
      </c>
      <c r="R3240"/>
      <c r="S3240"/>
      <c r="T3240"/>
      <c r="U3240"/>
      <c r="V3240"/>
      <c r="W3240">
        <v>18</v>
      </c>
    </row>
    <row r="3241" spans="1:23">
      <c r="A3241"/>
      <c r="B3241" t="s">
        <v>83</v>
      </c>
      <c r="C3241" t="s">
        <v>83</v>
      </c>
      <c r="D3241" t="s">
        <v>33</v>
      </c>
      <c r="E3241" t="s">
        <v>34</v>
      </c>
      <c r="F3241" t="str">
        <f>"0003540"</f>
        <v>0003540</v>
      </c>
      <c r="G3241">
        <v>1</v>
      </c>
      <c r="H3241" t="str">
        <f>"00000000"</f>
        <v>00000000</v>
      </c>
      <c r="I3241" t="s">
        <v>35</v>
      </c>
      <c r="J3241"/>
      <c r="K3241">
        <v>2.54</v>
      </c>
      <c r="L3241">
        <v>0.0</v>
      </c>
      <c r="M3241"/>
      <c r="N3241"/>
      <c r="O3241">
        <v>0.46</v>
      </c>
      <c r="P3241">
        <v>0.0</v>
      </c>
      <c r="Q3241">
        <v>3.0</v>
      </c>
      <c r="R3241"/>
      <c r="S3241"/>
      <c r="T3241"/>
      <c r="U3241"/>
      <c r="V3241"/>
      <c r="W3241">
        <v>18</v>
      </c>
    </row>
    <row r="3242" spans="1:23">
      <c r="A3242"/>
      <c r="B3242" t="s">
        <v>83</v>
      </c>
      <c r="C3242" t="s">
        <v>83</v>
      </c>
      <c r="D3242" t="s">
        <v>33</v>
      </c>
      <c r="E3242" t="s">
        <v>34</v>
      </c>
      <c r="F3242" t="str">
        <f>"0003541"</f>
        <v>0003541</v>
      </c>
      <c r="G3242">
        <v>1</v>
      </c>
      <c r="H3242" t="str">
        <f>"00000000"</f>
        <v>00000000</v>
      </c>
      <c r="I3242" t="s">
        <v>35</v>
      </c>
      <c r="J3242"/>
      <c r="K3242">
        <v>19.57</v>
      </c>
      <c r="L3242">
        <v>8.16</v>
      </c>
      <c r="M3242"/>
      <c r="N3242"/>
      <c r="O3242">
        <v>3.52</v>
      </c>
      <c r="P3242">
        <v>0.2</v>
      </c>
      <c r="Q3242">
        <v>31.45</v>
      </c>
      <c r="R3242"/>
      <c r="S3242"/>
      <c r="T3242"/>
      <c r="U3242"/>
      <c r="V3242"/>
      <c r="W3242">
        <v>18</v>
      </c>
    </row>
    <row r="3243" spans="1:23">
      <c r="A3243"/>
      <c r="B3243" t="s">
        <v>83</v>
      </c>
      <c r="C3243" t="s">
        <v>83</v>
      </c>
      <c r="D3243" t="s">
        <v>33</v>
      </c>
      <c r="E3243" t="s">
        <v>34</v>
      </c>
      <c r="F3243" t="str">
        <f>"0003542"</f>
        <v>0003542</v>
      </c>
      <c r="G3243">
        <v>1</v>
      </c>
      <c r="H3243" t="str">
        <f>"00000000"</f>
        <v>00000000</v>
      </c>
      <c r="I3243" t="s">
        <v>35</v>
      </c>
      <c r="J3243"/>
      <c r="K3243">
        <v>35.56</v>
      </c>
      <c r="L3243">
        <v>0.0</v>
      </c>
      <c r="M3243"/>
      <c r="N3243"/>
      <c r="O3243">
        <v>6.4</v>
      </c>
      <c r="P3243">
        <v>0.2</v>
      </c>
      <c r="Q3243">
        <v>42.16</v>
      </c>
      <c r="R3243"/>
      <c r="S3243"/>
      <c r="T3243"/>
      <c r="U3243"/>
      <c r="V3243"/>
      <c r="W3243">
        <v>18</v>
      </c>
    </row>
    <row r="3244" spans="1:23">
      <c r="A3244"/>
      <c r="B3244" t="s">
        <v>83</v>
      </c>
      <c r="C3244" t="s">
        <v>83</v>
      </c>
      <c r="D3244" t="s">
        <v>33</v>
      </c>
      <c r="E3244" t="s">
        <v>34</v>
      </c>
      <c r="F3244" t="str">
        <f>"0003543"</f>
        <v>0003543</v>
      </c>
      <c r="G3244">
        <v>1</v>
      </c>
      <c r="H3244" t="str">
        <f>"00000000"</f>
        <v>00000000</v>
      </c>
      <c r="I3244" t="s">
        <v>35</v>
      </c>
      <c r="J3244"/>
      <c r="K3244">
        <v>44.24</v>
      </c>
      <c r="L3244">
        <v>9.73</v>
      </c>
      <c r="M3244"/>
      <c r="N3244"/>
      <c r="O3244">
        <v>7.96</v>
      </c>
      <c r="P3244">
        <v>0.4</v>
      </c>
      <c r="Q3244">
        <v>62.33</v>
      </c>
      <c r="R3244"/>
      <c r="S3244"/>
      <c r="T3244"/>
      <c r="U3244"/>
      <c r="V3244"/>
      <c r="W3244">
        <v>18</v>
      </c>
    </row>
    <row r="3245" spans="1:23">
      <c r="A3245"/>
      <c r="B3245" t="s">
        <v>83</v>
      </c>
      <c r="C3245" t="s">
        <v>83</v>
      </c>
      <c r="D3245" t="s">
        <v>33</v>
      </c>
      <c r="E3245" t="s">
        <v>34</v>
      </c>
      <c r="F3245" t="str">
        <f>"0003544"</f>
        <v>0003544</v>
      </c>
      <c r="G3245">
        <v>1</v>
      </c>
      <c r="H3245" t="str">
        <f>"00000000"</f>
        <v>00000000</v>
      </c>
      <c r="I3245" t="s">
        <v>35</v>
      </c>
      <c r="J3245"/>
      <c r="K3245">
        <v>5.08</v>
      </c>
      <c r="L3245">
        <v>1.34</v>
      </c>
      <c r="M3245"/>
      <c r="N3245"/>
      <c r="O3245">
        <v>0.92</v>
      </c>
      <c r="P3245">
        <v>0.0</v>
      </c>
      <c r="Q3245">
        <v>7.34</v>
      </c>
      <c r="R3245"/>
      <c r="S3245"/>
      <c r="T3245"/>
      <c r="U3245"/>
      <c r="V3245"/>
      <c r="W3245">
        <v>18</v>
      </c>
    </row>
    <row r="3246" spans="1:23">
      <c r="A3246"/>
      <c r="B3246" t="s">
        <v>83</v>
      </c>
      <c r="C3246" t="s">
        <v>83</v>
      </c>
      <c r="D3246" t="s">
        <v>33</v>
      </c>
      <c r="E3246" t="s">
        <v>34</v>
      </c>
      <c r="F3246" t="str">
        <f>"0003545"</f>
        <v>0003545</v>
      </c>
      <c r="G3246">
        <v>1</v>
      </c>
      <c r="H3246" t="str">
        <f>"00000000"</f>
        <v>00000000</v>
      </c>
      <c r="I3246" t="s">
        <v>35</v>
      </c>
      <c r="J3246"/>
      <c r="K3246">
        <v>1.27</v>
      </c>
      <c r="L3246">
        <v>0.52</v>
      </c>
      <c r="M3246"/>
      <c r="N3246"/>
      <c r="O3246">
        <v>0.23</v>
      </c>
      <c r="P3246">
        <v>0.0</v>
      </c>
      <c r="Q3246">
        <v>2.02</v>
      </c>
      <c r="R3246"/>
      <c r="S3246"/>
      <c r="T3246"/>
      <c r="U3246"/>
      <c r="V3246"/>
      <c r="W3246">
        <v>18</v>
      </c>
    </row>
    <row r="3247" spans="1:23">
      <c r="A3247"/>
      <c r="B3247" t="s">
        <v>83</v>
      </c>
      <c r="C3247" t="s">
        <v>83</v>
      </c>
      <c r="D3247" t="s">
        <v>33</v>
      </c>
      <c r="E3247" t="s">
        <v>34</v>
      </c>
      <c r="F3247" t="str">
        <f>"0003546"</f>
        <v>0003546</v>
      </c>
      <c r="G3247">
        <v>1</v>
      </c>
      <c r="H3247" t="str">
        <f>"00000000"</f>
        <v>00000000</v>
      </c>
      <c r="I3247" t="s">
        <v>35</v>
      </c>
      <c r="J3247"/>
      <c r="K3247">
        <v>2.37</v>
      </c>
      <c r="L3247">
        <v>26.32</v>
      </c>
      <c r="M3247"/>
      <c r="N3247"/>
      <c r="O3247">
        <v>0.43</v>
      </c>
      <c r="P3247">
        <v>0.0</v>
      </c>
      <c r="Q3247">
        <v>29.12</v>
      </c>
      <c r="R3247"/>
      <c r="S3247"/>
      <c r="T3247"/>
      <c r="U3247"/>
      <c r="V3247"/>
      <c r="W3247">
        <v>18</v>
      </c>
    </row>
    <row r="3248" spans="1:23">
      <c r="A3248"/>
      <c r="B3248" t="s">
        <v>83</v>
      </c>
      <c r="C3248" t="s">
        <v>83</v>
      </c>
      <c r="D3248" t="s">
        <v>33</v>
      </c>
      <c r="E3248" t="s">
        <v>34</v>
      </c>
      <c r="F3248" t="str">
        <f>"0003547"</f>
        <v>0003547</v>
      </c>
      <c r="G3248">
        <v>1</v>
      </c>
      <c r="H3248" t="str">
        <f>"00000000"</f>
        <v>00000000</v>
      </c>
      <c r="I3248" t="s">
        <v>35</v>
      </c>
      <c r="J3248"/>
      <c r="K3248">
        <v>8.49</v>
      </c>
      <c r="L3248">
        <v>7.83</v>
      </c>
      <c r="M3248"/>
      <c r="N3248"/>
      <c r="O3248">
        <v>1.53</v>
      </c>
      <c r="P3248">
        <v>0.2</v>
      </c>
      <c r="Q3248">
        <v>18.05</v>
      </c>
      <c r="R3248"/>
      <c r="S3248"/>
      <c r="T3248"/>
      <c r="U3248"/>
      <c r="V3248"/>
      <c r="W3248">
        <v>18</v>
      </c>
    </row>
    <row r="3249" spans="1:23">
      <c r="A3249"/>
      <c r="B3249" t="s">
        <v>83</v>
      </c>
      <c r="C3249" t="s">
        <v>83</v>
      </c>
      <c r="D3249" t="s">
        <v>33</v>
      </c>
      <c r="E3249" t="s">
        <v>34</v>
      </c>
      <c r="F3249" t="str">
        <f>"0003548"</f>
        <v>0003548</v>
      </c>
      <c r="G3249">
        <v>1</v>
      </c>
      <c r="H3249" t="str">
        <f>"00000000"</f>
        <v>00000000</v>
      </c>
      <c r="I3249" t="s">
        <v>35</v>
      </c>
      <c r="J3249"/>
      <c r="K3249">
        <v>69.12</v>
      </c>
      <c r="L3249">
        <v>7.93</v>
      </c>
      <c r="M3249"/>
      <c r="N3249"/>
      <c r="O3249">
        <v>12.44</v>
      </c>
      <c r="P3249">
        <v>0.2</v>
      </c>
      <c r="Q3249">
        <v>89.69</v>
      </c>
      <c r="R3249"/>
      <c r="S3249"/>
      <c r="T3249"/>
      <c r="U3249"/>
      <c r="V3249"/>
      <c r="W3249">
        <v>18</v>
      </c>
    </row>
    <row r="3250" spans="1:23">
      <c r="A3250"/>
      <c r="B3250" t="s">
        <v>83</v>
      </c>
      <c r="C3250" t="s">
        <v>83</v>
      </c>
      <c r="D3250" t="s">
        <v>33</v>
      </c>
      <c r="E3250" t="s">
        <v>34</v>
      </c>
      <c r="F3250" t="str">
        <f>"0003549"</f>
        <v>0003549</v>
      </c>
      <c r="G3250">
        <v>1</v>
      </c>
      <c r="H3250" t="str">
        <f>"00000000"</f>
        <v>00000000</v>
      </c>
      <c r="I3250" t="s">
        <v>35</v>
      </c>
      <c r="J3250"/>
      <c r="K3250">
        <v>0.0</v>
      </c>
      <c r="L3250">
        <v>1.41</v>
      </c>
      <c r="M3250"/>
      <c r="N3250"/>
      <c r="O3250">
        <v>0.0</v>
      </c>
      <c r="P3250">
        <v>0.0</v>
      </c>
      <c r="Q3250">
        <v>1.41</v>
      </c>
      <c r="R3250"/>
      <c r="S3250"/>
      <c r="T3250"/>
      <c r="U3250"/>
      <c r="V3250"/>
      <c r="W3250">
        <v>18</v>
      </c>
    </row>
    <row r="3251" spans="1:23">
      <c r="A3251"/>
      <c r="B3251" t="s">
        <v>83</v>
      </c>
      <c r="C3251" t="s">
        <v>83</v>
      </c>
      <c r="D3251" t="s">
        <v>33</v>
      </c>
      <c r="E3251" t="s">
        <v>34</v>
      </c>
      <c r="F3251" t="str">
        <f>"0003550"</f>
        <v>0003550</v>
      </c>
      <c r="G3251">
        <v>1</v>
      </c>
      <c r="H3251" t="str">
        <f>"00000000"</f>
        <v>00000000</v>
      </c>
      <c r="I3251" t="s">
        <v>35</v>
      </c>
      <c r="J3251"/>
      <c r="K3251">
        <v>294.22</v>
      </c>
      <c r="L3251">
        <v>0.0</v>
      </c>
      <c r="M3251"/>
      <c r="N3251"/>
      <c r="O3251">
        <v>52.96</v>
      </c>
      <c r="P3251">
        <v>0.8</v>
      </c>
      <c r="Q3251">
        <v>347.98</v>
      </c>
      <c r="R3251"/>
      <c r="S3251"/>
      <c r="T3251"/>
      <c r="U3251"/>
      <c r="V3251"/>
      <c r="W3251">
        <v>18</v>
      </c>
    </row>
    <row r="3252" spans="1:23">
      <c r="A3252"/>
      <c r="B3252" t="s">
        <v>83</v>
      </c>
      <c r="C3252" t="s">
        <v>83</v>
      </c>
      <c r="D3252" t="s">
        <v>33</v>
      </c>
      <c r="E3252" t="s">
        <v>34</v>
      </c>
      <c r="F3252" t="str">
        <f>"0003551"</f>
        <v>0003551</v>
      </c>
      <c r="G3252">
        <v>1</v>
      </c>
      <c r="H3252" t="str">
        <f>"00000000"</f>
        <v>00000000</v>
      </c>
      <c r="I3252" t="s">
        <v>35</v>
      </c>
      <c r="J3252"/>
      <c r="K3252">
        <v>0.0</v>
      </c>
      <c r="L3252">
        <v>7.01</v>
      </c>
      <c r="M3252"/>
      <c r="N3252"/>
      <c r="O3252">
        <v>0.0</v>
      </c>
      <c r="P3252">
        <v>0.0</v>
      </c>
      <c r="Q3252">
        <v>7.01</v>
      </c>
      <c r="R3252"/>
      <c r="S3252"/>
      <c r="T3252"/>
      <c r="U3252"/>
      <c r="V3252"/>
      <c r="W3252">
        <v>18</v>
      </c>
    </row>
    <row r="3253" spans="1:23">
      <c r="A3253"/>
      <c r="B3253" t="s">
        <v>83</v>
      </c>
      <c r="C3253" t="s">
        <v>83</v>
      </c>
      <c r="D3253" t="s">
        <v>33</v>
      </c>
      <c r="E3253" t="s">
        <v>34</v>
      </c>
      <c r="F3253" t="str">
        <f>"0003552"</f>
        <v>0003552</v>
      </c>
      <c r="G3253">
        <v>1</v>
      </c>
      <c r="H3253" t="str">
        <f>"00000000"</f>
        <v>00000000</v>
      </c>
      <c r="I3253" t="s">
        <v>35</v>
      </c>
      <c r="J3253"/>
      <c r="K3253">
        <v>1.85</v>
      </c>
      <c r="L3253">
        <v>3.2</v>
      </c>
      <c r="M3253"/>
      <c r="N3253"/>
      <c r="O3253">
        <v>0.33</v>
      </c>
      <c r="P3253">
        <v>0.2</v>
      </c>
      <c r="Q3253">
        <v>5.58</v>
      </c>
      <c r="R3253"/>
      <c r="S3253"/>
      <c r="T3253"/>
      <c r="U3253"/>
      <c r="V3253"/>
      <c r="W3253">
        <v>18</v>
      </c>
    </row>
    <row r="3254" spans="1:23">
      <c r="A3254"/>
      <c r="B3254" t="s">
        <v>83</v>
      </c>
      <c r="C3254" t="s">
        <v>83</v>
      </c>
      <c r="D3254" t="s">
        <v>33</v>
      </c>
      <c r="E3254" t="s">
        <v>34</v>
      </c>
      <c r="F3254" t="str">
        <f>"0003553"</f>
        <v>0003553</v>
      </c>
      <c r="G3254">
        <v>1</v>
      </c>
      <c r="H3254" t="str">
        <f>"00000000"</f>
        <v>00000000</v>
      </c>
      <c r="I3254" t="s">
        <v>35</v>
      </c>
      <c r="J3254"/>
      <c r="K3254">
        <v>2.03</v>
      </c>
      <c r="L3254">
        <v>0.0</v>
      </c>
      <c r="M3254"/>
      <c r="N3254"/>
      <c r="O3254">
        <v>0.37</v>
      </c>
      <c r="P3254">
        <v>0.0</v>
      </c>
      <c r="Q3254">
        <v>2.4</v>
      </c>
      <c r="R3254"/>
      <c r="S3254"/>
      <c r="T3254"/>
      <c r="U3254"/>
      <c r="V3254"/>
      <c r="W3254">
        <v>18</v>
      </c>
    </row>
    <row r="3255" spans="1:23">
      <c r="A3255"/>
      <c r="B3255" t="s">
        <v>83</v>
      </c>
      <c r="C3255" t="s">
        <v>83</v>
      </c>
      <c r="D3255" t="s">
        <v>33</v>
      </c>
      <c r="E3255" t="s">
        <v>34</v>
      </c>
      <c r="F3255" t="str">
        <f>"0003554"</f>
        <v>0003554</v>
      </c>
      <c r="G3255">
        <v>1</v>
      </c>
      <c r="H3255" t="str">
        <f>"00000000"</f>
        <v>00000000</v>
      </c>
      <c r="I3255" t="s">
        <v>35</v>
      </c>
      <c r="J3255"/>
      <c r="K3255">
        <v>27.29</v>
      </c>
      <c r="L3255">
        <v>0.0</v>
      </c>
      <c r="M3255"/>
      <c r="N3255"/>
      <c r="O3255">
        <v>4.91</v>
      </c>
      <c r="P3255">
        <v>0.2</v>
      </c>
      <c r="Q3255">
        <v>32.4</v>
      </c>
      <c r="R3255"/>
      <c r="S3255"/>
      <c r="T3255"/>
      <c r="U3255"/>
      <c r="V3255"/>
      <c r="W3255">
        <v>18</v>
      </c>
    </row>
    <row r="3256" spans="1:23">
      <c r="A3256"/>
      <c r="B3256" t="s">
        <v>83</v>
      </c>
      <c r="C3256" t="s">
        <v>83</v>
      </c>
      <c r="D3256" t="s">
        <v>33</v>
      </c>
      <c r="E3256" t="s">
        <v>34</v>
      </c>
      <c r="F3256" t="str">
        <f>"0003555"</f>
        <v>0003555</v>
      </c>
      <c r="G3256">
        <v>1</v>
      </c>
      <c r="H3256" t="str">
        <f>"00000000"</f>
        <v>00000000</v>
      </c>
      <c r="I3256" t="s">
        <v>35</v>
      </c>
      <c r="J3256"/>
      <c r="K3256">
        <v>66.88</v>
      </c>
      <c r="L3256">
        <v>0.0</v>
      </c>
      <c r="M3256"/>
      <c r="N3256"/>
      <c r="O3256">
        <v>12.04</v>
      </c>
      <c r="P3256">
        <v>0.2</v>
      </c>
      <c r="Q3256">
        <v>79.12</v>
      </c>
      <c r="R3256"/>
      <c r="S3256"/>
      <c r="T3256"/>
      <c r="U3256"/>
      <c r="V3256"/>
      <c r="W3256">
        <v>18</v>
      </c>
    </row>
    <row r="3257" spans="1:23">
      <c r="A3257"/>
      <c r="B3257" t="s">
        <v>83</v>
      </c>
      <c r="C3257" t="s">
        <v>83</v>
      </c>
      <c r="D3257" t="s">
        <v>33</v>
      </c>
      <c r="E3257" t="s">
        <v>34</v>
      </c>
      <c r="F3257" t="str">
        <f>"0003556"</f>
        <v>0003556</v>
      </c>
      <c r="G3257">
        <v>1</v>
      </c>
      <c r="H3257" t="str">
        <f>"00000000"</f>
        <v>00000000</v>
      </c>
      <c r="I3257" t="s">
        <v>35</v>
      </c>
      <c r="J3257"/>
      <c r="K3257">
        <v>65.91</v>
      </c>
      <c r="L3257">
        <v>51.11</v>
      </c>
      <c r="M3257"/>
      <c r="N3257"/>
      <c r="O3257">
        <v>11.86</v>
      </c>
      <c r="P3257">
        <v>0.6</v>
      </c>
      <c r="Q3257">
        <v>129.49</v>
      </c>
      <c r="R3257"/>
      <c r="S3257"/>
      <c r="T3257"/>
      <c r="U3257"/>
      <c r="V3257"/>
      <c r="W3257">
        <v>18</v>
      </c>
    </row>
    <row r="3258" spans="1:23">
      <c r="A3258"/>
      <c r="B3258" t="s">
        <v>83</v>
      </c>
      <c r="C3258" t="s">
        <v>83</v>
      </c>
      <c r="D3258" t="s">
        <v>33</v>
      </c>
      <c r="E3258" t="s">
        <v>34</v>
      </c>
      <c r="F3258" t="str">
        <f>"0003557"</f>
        <v>0003557</v>
      </c>
      <c r="G3258">
        <v>1</v>
      </c>
      <c r="H3258" t="str">
        <f>"00000000"</f>
        <v>00000000</v>
      </c>
      <c r="I3258" t="s">
        <v>35</v>
      </c>
      <c r="J3258"/>
      <c r="K3258">
        <v>26.78</v>
      </c>
      <c r="L3258">
        <v>4.26</v>
      </c>
      <c r="M3258"/>
      <c r="N3258"/>
      <c r="O3258">
        <v>4.82</v>
      </c>
      <c r="P3258">
        <v>0.0</v>
      </c>
      <c r="Q3258">
        <v>35.86</v>
      </c>
      <c r="R3258"/>
      <c r="S3258"/>
      <c r="T3258"/>
      <c r="U3258"/>
      <c r="V3258"/>
      <c r="W3258">
        <v>18</v>
      </c>
    </row>
    <row r="3259" spans="1:23">
      <c r="A3259"/>
      <c r="B3259" t="s">
        <v>83</v>
      </c>
      <c r="C3259" t="s">
        <v>83</v>
      </c>
      <c r="D3259" t="s">
        <v>33</v>
      </c>
      <c r="E3259" t="s">
        <v>34</v>
      </c>
      <c r="F3259" t="str">
        <f>"0003558"</f>
        <v>0003558</v>
      </c>
      <c r="G3259">
        <v>1</v>
      </c>
      <c r="H3259" t="str">
        <f>"00000000"</f>
        <v>00000000</v>
      </c>
      <c r="I3259" t="s">
        <v>35</v>
      </c>
      <c r="J3259"/>
      <c r="K3259">
        <v>0.0</v>
      </c>
      <c r="L3259">
        <v>1.81</v>
      </c>
      <c r="M3259"/>
      <c r="N3259"/>
      <c r="O3259">
        <v>0.0</v>
      </c>
      <c r="P3259">
        <v>0.0</v>
      </c>
      <c r="Q3259">
        <v>1.81</v>
      </c>
      <c r="R3259"/>
      <c r="S3259"/>
      <c r="T3259"/>
      <c r="U3259"/>
      <c r="V3259"/>
      <c r="W3259">
        <v>18</v>
      </c>
    </row>
    <row r="3260" spans="1:23">
      <c r="A3260"/>
      <c r="B3260" t="s">
        <v>83</v>
      </c>
      <c r="C3260" t="s">
        <v>83</v>
      </c>
      <c r="D3260" t="s">
        <v>33</v>
      </c>
      <c r="E3260" t="s">
        <v>34</v>
      </c>
      <c r="F3260" t="str">
        <f>"0003559"</f>
        <v>0003559</v>
      </c>
      <c r="G3260">
        <v>1</v>
      </c>
      <c r="H3260" t="str">
        <f>"00000000"</f>
        <v>00000000</v>
      </c>
      <c r="I3260" t="s">
        <v>35</v>
      </c>
      <c r="J3260"/>
      <c r="K3260">
        <v>1.27</v>
      </c>
      <c r="L3260">
        <v>0.0</v>
      </c>
      <c r="M3260"/>
      <c r="N3260"/>
      <c r="O3260">
        <v>0.23</v>
      </c>
      <c r="P3260">
        <v>0.0</v>
      </c>
      <c r="Q3260">
        <v>1.5</v>
      </c>
      <c r="R3260"/>
      <c r="S3260"/>
      <c r="T3260"/>
      <c r="U3260"/>
      <c r="V3260"/>
      <c r="W3260">
        <v>18</v>
      </c>
    </row>
    <row r="3261" spans="1:23">
      <c r="A3261"/>
      <c r="B3261" t="s">
        <v>83</v>
      </c>
      <c r="C3261" t="s">
        <v>83</v>
      </c>
      <c r="D3261" t="s">
        <v>33</v>
      </c>
      <c r="E3261" t="s">
        <v>34</v>
      </c>
      <c r="F3261" t="str">
        <f>"0003560"</f>
        <v>0003560</v>
      </c>
      <c r="G3261">
        <v>1</v>
      </c>
      <c r="H3261" t="str">
        <f>"00000000"</f>
        <v>00000000</v>
      </c>
      <c r="I3261" t="s">
        <v>35</v>
      </c>
      <c r="J3261"/>
      <c r="K3261">
        <v>9.65</v>
      </c>
      <c r="L3261">
        <v>0.0</v>
      </c>
      <c r="M3261"/>
      <c r="N3261"/>
      <c r="O3261">
        <v>1.74</v>
      </c>
      <c r="P3261">
        <v>0.0</v>
      </c>
      <c r="Q3261">
        <v>11.39</v>
      </c>
      <c r="R3261"/>
      <c r="S3261"/>
      <c r="T3261"/>
      <c r="U3261"/>
      <c r="V3261"/>
      <c r="W3261">
        <v>18</v>
      </c>
    </row>
    <row r="3262" spans="1:23">
      <c r="A3262"/>
      <c r="B3262" t="s">
        <v>83</v>
      </c>
      <c r="C3262" t="s">
        <v>83</v>
      </c>
      <c r="D3262" t="s">
        <v>33</v>
      </c>
      <c r="E3262" t="s">
        <v>34</v>
      </c>
      <c r="F3262" t="str">
        <f>"0003561"</f>
        <v>0003561</v>
      </c>
      <c r="G3262">
        <v>1</v>
      </c>
      <c r="H3262" t="str">
        <f>"00000000"</f>
        <v>00000000</v>
      </c>
      <c r="I3262" t="s">
        <v>35</v>
      </c>
      <c r="J3262"/>
      <c r="K3262">
        <v>9.08</v>
      </c>
      <c r="L3262">
        <v>0.0</v>
      </c>
      <c r="M3262"/>
      <c r="N3262"/>
      <c r="O3262">
        <v>1.64</v>
      </c>
      <c r="P3262">
        <v>0.2</v>
      </c>
      <c r="Q3262">
        <v>10.92</v>
      </c>
      <c r="R3262"/>
      <c r="S3262"/>
      <c r="T3262"/>
      <c r="U3262"/>
      <c r="V3262"/>
      <c r="W3262">
        <v>18</v>
      </c>
    </row>
    <row r="3263" spans="1:23">
      <c r="A3263"/>
      <c r="B3263" t="s">
        <v>83</v>
      </c>
      <c r="C3263" t="s">
        <v>83</v>
      </c>
      <c r="D3263" t="s">
        <v>33</v>
      </c>
      <c r="E3263" t="s">
        <v>34</v>
      </c>
      <c r="F3263" t="str">
        <f>"0003562"</f>
        <v>0003562</v>
      </c>
      <c r="G3263">
        <v>1</v>
      </c>
      <c r="H3263" t="str">
        <f>"00000000"</f>
        <v>00000000</v>
      </c>
      <c r="I3263" t="s">
        <v>35</v>
      </c>
      <c r="J3263"/>
      <c r="K3263">
        <v>17.35</v>
      </c>
      <c r="L3263">
        <v>0.0</v>
      </c>
      <c r="M3263"/>
      <c r="N3263"/>
      <c r="O3263">
        <v>3.12</v>
      </c>
      <c r="P3263">
        <v>0.2</v>
      </c>
      <c r="Q3263">
        <v>20.67</v>
      </c>
      <c r="R3263"/>
      <c r="S3263"/>
      <c r="T3263"/>
      <c r="U3263"/>
      <c r="V3263"/>
      <c r="W3263">
        <v>18</v>
      </c>
    </row>
    <row r="3264" spans="1:23">
      <c r="A3264"/>
      <c r="B3264" t="s">
        <v>83</v>
      </c>
      <c r="C3264" t="s">
        <v>83</v>
      </c>
      <c r="D3264" t="s">
        <v>33</v>
      </c>
      <c r="E3264" t="s">
        <v>34</v>
      </c>
      <c r="F3264" t="str">
        <f>"0003563"</f>
        <v>0003563</v>
      </c>
      <c r="G3264">
        <v>1</v>
      </c>
      <c r="H3264" t="str">
        <f>"00000000"</f>
        <v>00000000</v>
      </c>
      <c r="I3264" t="s">
        <v>35</v>
      </c>
      <c r="J3264"/>
      <c r="K3264">
        <v>1.27</v>
      </c>
      <c r="L3264">
        <v>0.0</v>
      </c>
      <c r="M3264"/>
      <c r="N3264"/>
      <c r="O3264">
        <v>0.23</v>
      </c>
      <c r="P3264">
        <v>0.0</v>
      </c>
      <c r="Q3264">
        <v>1.5</v>
      </c>
      <c r="R3264"/>
      <c r="S3264"/>
      <c r="T3264"/>
      <c r="U3264"/>
      <c r="V3264"/>
      <c r="W3264">
        <v>18</v>
      </c>
    </row>
    <row r="3265" spans="1:23">
      <c r="A3265"/>
      <c r="B3265" t="s">
        <v>83</v>
      </c>
      <c r="C3265" t="s">
        <v>83</v>
      </c>
      <c r="D3265" t="s">
        <v>33</v>
      </c>
      <c r="E3265" t="s">
        <v>34</v>
      </c>
      <c r="F3265" t="str">
        <f>"0003564"</f>
        <v>0003564</v>
      </c>
      <c r="G3265">
        <v>1</v>
      </c>
      <c r="H3265" t="str">
        <f>"00000000"</f>
        <v>00000000</v>
      </c>
      <c r="I3265" t="s">
        <v>35</v>
      </c>
      <c r="J3265"/>
      <c r="K3265">
        <v>22.21</v>
      </c>
      <c r="L3265">
        <v>0.71</v>
      </c>
      <c r="M3265"/>
      <c r="N3265"/>
      <c r="O3265">
        <v>4.0</v>
      </c>
      <c r="P3265">
        <v>0.0</v>
      </c>
      <c r="Q3265">
        <v>26.92</v>
      </c>
      <c r="R3265"/>
      <c r="S3265"/>
      <c r="T3265"/>
      <c r="U3265"/>
      <c r="V3265"/>
      <c r="W3265">
        <v>18</v>
      </c>
    </row>
    <row r="3266" spans="1:23">
      <c r="A3266"/>
      <c r="B3266" t="s">
        <v>83</v>
      </c>
      <c r="C3266" t="s">
        <v>83</v>
      </c>
      <c r="D3266" t="s">
        <v>33</v>
      </c>
      <c r="E3266" t="s">
        <v>34</v>
      </c>
      <c r="F3266" t="str">
        <f>"0003565"</f>
        <v>0003565</v>
      </c>
      <c r="G3266">
        <v>1</v>
      </c>
      <c r="H3266" t="str">
        <f>"00000000"</f>
        <v>00000000</v>
      </c>
      <c r="I3266" t="s">
        <v>35</v>
      </c>
      <c r="J3266"/>
      <c r="K3266">
        <v>0.0</v>
      </c>
      <c r="L3266">
        <v>4.1</v>
      </c>
      <c r="M3266"/>
      <c r="N3266"/>
      <c r="O3266">
        <v>0.0</v>
      </c>
      <c r="P3266">
        <v>0.0</v>
      </c>
      <c r="Q3266">
        <v>4.1</v>
      </c>
      <c r="R3266"/>
      <c r="S3266"/>
      <c r="T3266"/>
      <c r="U3266"/>
      <c r="V3266"/>
      <c r="W3266">
        <v>18</v>
      </c>
    </row>
    <row r="3267" spans="1:23">
      <c r="A3267"/>
      <c r="B3267" t="s">
        <v>83</v>
      </c>
      <c r="C3267" t="s">
        <v>83</v>
      </c>
      <c r="D3267" t="s">
        <v>33</v>
      </c>
      <c r="E3267" t="s">
        <v>34</v>
      </c>
      <c r="F3267" t="str">
        <f>"0003566"</f>
        <v>0003566</v>
      </c>
      <c r="G3267">
        <v>1</v>
      </c>
      <c r="H3267" t="str">
        <f>"00000000"</f>
        <v>00000000</v>
      </c>
      <c r="I3267" t="s">
        <v>35</v>
      </c>
      <c r="J3267"/>
      <c r="K3267">
        <v>13.52</v>
      </c>
      <c r="L3267">
        <v>0.0</v>
      </c>
      <c r="M3267"/>
      <c r="N3267"/>
      <c r="O3267">
        <v>2.43</v>
      </c>
      <c r="P3267">
        <v>0.2</v>
      </c>
      <c r="Q3267">
        <v>16.15</v>
      </c>
      <c r="R3267"/>
      <c r="S3267"/>
      <c r="T3267"/>
      <c r="U3267"/>
      <c r="V3267"/>
      <c r="W3267">
        <v>18</v>
      </c>
    </row>
    <row r="3268" spans="1:23">
      <c r="A3268"/>
      <c r="B3268" t="s">
        <v>83</v>
      </c>
      <c r="C3268" t="s">
        <v>83</v>
      </c>
      <c r="D3268" t="s">
        <v>33</v>
      </c>
      <c r="E3268" t="s">
        <v>34</v>
      </c>
      <c r="F3268" t="str">
        <f>"0003567"</f>
        <v>0003567</v>
      </c>
      <c r="G3268">
        <v>1</v>
      </c>
      <c r="H3268" t="str">
        <f>"00000000"</f>
        <v>00000000</v>
      </c>
      <c r="I3268" t="s">
        <v>35</v>
      </c>
      <c r="J3268"/>
      <c r="K3268">
        <v>25.35</v>
      </c>
      <c r="L3268">
        <v>15.97</v>
      </c>
      <c r="M3268"/>
      <c r="N3268"/>
      <c r="O3268">
        <v>4.56</v>
      </c>
      <c r="P3268">
        <v>0.2</v>
      </c>
      <c r="Q3268">
        <v>46.08</v>
      </c>
      <c r="R3268"/>
      <c r="S3268"/>
      <c r="T3268"/>
      <c r="U3268"/>
      <c r="V3268"/>
      <c r="W3268">
        <v>18</v>
      </c>
    </row>
    <row r="3269" spans="1:23">
      <c r="A3269"/>
      <c r="B3269" t="s">
        <v>83</v>
      </c>
      <c r="C3269" t="s">
        <v>83</v>
      </c>
      <c r="D3269" t="s">
        <v>33</v>
      </c>
      <c r="E3269" t="s">
        <v>34</v>
      </c>
      <c r="F3269" t="str">
        <f>"0003568"</f>
        <v>0003568</v>
      </c>
      <c r="G3269">
        <v>1</v>
      </c>
      <c r="H3269" t="str">
        <f>"00000000"</f>
        <v>00000000</v>
      </c>
      <c r="I3269" t="s">
        <v>35</v>
      </c>
      <c r="J3269"/>
      <c r="K3269">
        <v>5.93</v>
      </c>
      <c r="L3269">
        <v>0.0</v>
      </c>
      <c r="M3269"/>
      <c r="N3269"/>
      <c r="O3269">
        <v>1.07</v>
      </c>
      <c r="P3269">
        <v>0.0</v>
      </c>
      <c r="Q3269">
        <v>7.0</v>
      </c>
      <c r="R3269"/>
      <c r="S3269"/>
      <c r="T3269"/>
      <c r="U3269"/>
      <c r="V3269"/>
      <c r="W3269">
        <v>18</v>
      </c>
    </row>
    <row r="3270" spans="1:23">
      <c r="A3270"/>
      <c r="B3270" t="s">
        <v>83</v>
      </c>
      <c r="C3270" t="s">
        <v>83</v>
      </c>
      <c r="D3270" t="s">
        <v>33</v>
      </c>
      <c r="E3270" t="s">
        <v>34</v>
      </c>
      <c r="F3270" t="str">
        <f>"0003569"</f>
        <v>0003569</v>
      </c>
      <c r="G3270">
        <v>1</v>
      </c>
      <c r="H3270" t="str">
        <f>"00000000"</f>
        <v>00000000</v>
      </c>
      <c r="I3270" t="s">
        <v>35</v>
      </c>
      <c r="J3270"/>
      <c r="K3270">
        <v>19.28</v>
      </c>
      <c r="L3270">
        <v>1.47</v>
      </c>
      <c r="M3270"/>
      <c r="N3270"/>
      <c r="O3270">
        <v>3.47</v>
      </c>
      <c r="P3270">
        <v>0.2</v>
      </c>
      <c r="Q3270">
        <v>24.41</v>
      </c>
      <c r="R3270"/>
      <c r="S3270"/>
      <c r="T3270"/>
      <c r="U3270"/>
      <c r="V3270"/>
      <c r="W3270">
        <v>18</v>
      </c>
    </row>
    <row r="3271" spans="1:23">
      <c r="A3271"/>
      <c r="B3271" t="s">
        <v>83</v>
      </c>
      <c r="C3271" t="s">
        <v>83</v>
      </c>
      <c r="D3271" t="s">
        <v>33</v>
      </c>
      <c r="E3271" t="s">
        <v>34</v>
      </c>
      <c r="F3271" t="str">
        <f>"0003570"</f>
        <v>0003570</v>
      </c>
      <c r="G3271">
        <v>1</v>
      </c>
      <c r="H3271" t="str">
        <f>"00000000"</f>
        <v>00000000</v>
      </c>
      <c r="I3271" t="s">
        <v>35</v>
      </c>
      <c r="J3271"/>
      <c r="K3271">
        <v>28.24</v>
      </c>
      <c r="L3271">
        <v>0.0</v>
      </c>
      <c r="M3271"/>
      <c r="N3271"/>
      <c r="O3271">
        <v>5.08</v>
      </c>
      <c r="P3271">
        <v>0.2</v>
      </c>
      <c r="Q3271">
        <v>33.52</v>
      </c>
      <c r="R3271"/>
      <c r="S3271"/>
      <c r="T3271"/>
      <c r="U3271"/>
      <c r="V3271"/>
      <c r="W3271">
        <v>18</v>
      </c>
    </row>
    <row r="3272" spans="1:23">
      <c r="A3272"/>
      <c r="B3272" t="s">
        <v>83</v>
      </c>
      <c r="C3272" t="s">
        <v>83</v>
      </c>
      <c r="D3272" t="s">
        <v>33</v>
      </c>
      <c r="E3272" t="s">
        <v>34</v>
      </c>
      <c r="F3272" t="str">
        <f>"0003571"</f>
        <v>0003571</v>
      </c>
      <c r="G3272">
        <v>1</v>
      </c>
      <c r="H3272" t="str">
        <f>"00000000"</f>
        <v>00000000</v>
      </c>
      <c r="I3272" t="s">
        <v>35</v>
      </c>
      <c r="J3272"/>
      <c r="K3272">
        <v>107.44</v>
      </c>
      <c r="L3272">
        <v>45.97</v>
      </c>
      <c r="M3272"/>
      <c r="N3272"/>
      <c r="O3272">
        <v>19.34</v>
      </c>
      <c r="P3272">
        <v>0.6</v>
      </c>
      <c r="Q3272">
        <v>173.35</v>
      </c>
      <c r="R3272"/>
      <c r="S3272"/>
      <c r="T3272"/>
      <c r="U3272"/>
      <c r="V3272"/>
      <c r="W3272">
        <v>18</v>
      </c>
    </row>
    <row r="3273" spans="1:23">
      <c r="A3273"/>
      <c r="B3273" t="s">
        <v>83</v>
      </c>
      <c r="C3273" t="s">
        <v>83</v>
      </c>
      <c r="D3273" t="s">
        <v>33</v>
      </c>
      <c r="E3273" t="s">
        <v>34</v>
      </c>
      <c r="F3273" t="str">
        <f>"0003572"</f>
        <v>0003572</v>
      </c>
      <c r="G3273">
        <v>1</v>
      </c>
      <c r="H3273" t="str">
        <f>"00000000"</f>
        <v>00000000</v>
      </c>
      <c r="I3273" t="s">
        <v>35</v>
      </c>
      <c r="J3273"/>
      <c r="K3273">
        <v>10.44</v>
      </c>
      <c r="L3273">
        <v>0.0</v>
      </c>
      <c r="M3273"/>
      <c r="N3273"/>
      <c r="O3273">
        <v>1.88</v>
      </c>
      <c r="P3273">
        <v>0.2</v>
      </c>
      <c r="Q3273">
        <v>12.52</v>
      </c>
      <c r="R3273"/>
      <c r="S3273"/>
      <c r="T3273"/>
      <c r="U3273"/>
      <c r="V3273"/>
      <c r="W3273">
        <v>18</v>
      </c>
    </row>
    <row r="3274" spans="1:23">
      <c r="A3274"/>
      <c r="B3274" t="s">
        <v>83</v>
      </c>
      <c r="C3274" t="s">
        <v>83</v>
      </c>
      <c r="D3274" t="s">
        <v>33</v>
      </c>
      <c r="E3274" t="s">
        <v>34</v>
      </c>
      <c r="F3274" t="str">
        <f>"0003573"</f>
        <v>0003573</v>
      </c>
      <c r="G3274">
        <v>1</v>
      </c>
      <c r="H3274" t="str">
        <f>"00000000"</f>
        <v>00000000</v>
      </c>
      <c r="I3274" t="s">
        <v>35</v>
      </c>
      <c r="J3274"/>
      <c r="K3274">
        <v>1.27</v>
      </c>
      <c r="L3274">
        <v>3.86</v>
      </c>
      <c r="M3274"/>
      <c r="N3274"/>
      <c r="O3274">
        <v>0.23</v>
      </c>
      <c r="P3274">
        <v>0.0</v>
      </c>
      <c r="Q3274">
        <v>5.36</v>
      </c>
      <c r="R3274"/>
      <c r="S3274"/>
      <c r="T3274"/>
      <c r="U3274"/>
      <c r="V3274"/>
      <c r="W3274">
        <v>18</v>
      </c>
    </row>
    <row r="3275" spans="1:23">
      <c r="A3275"/>
      <c r="B3275" t="s">
        <v>83</v>
      </c>
      <c r="C3275" t="s">
        <v>83</v>
      </c>
      <c r="D3275" t="s">
        <v>33</v>
      </c>
      <c r="E3275" t="s">
        <v>34</v>
      </c>
      <c r="F3275" t="str">
        <f>"0003574"</f>
        <v>0003574</v>
      </c>
      <c r="G3275">
        <v>1</v>
      </c>
      <c r="H3275" t="str">
        <f>"00000000"</f>
        <v>00000000</v>
      </c>
      <c r="I3275" t="s">
        <v>35</v>
      </c>
      <c r="J3275"/>
      <c r="K3275">
        <v>0.02</v>
      </c>
      <c r="L3275">
        <v>0.0</v>
      </c>
      <c r="M3275"/>
      <c r="N3275"/>
      <c r="O3275">
        <v>0.0</v>
      </c>
      <c r="P3275">
        <v>0.2</v>
      </c>
      <c r="Q3275">
        <v>0.22</v>
      </c>
      <c r="R3275"/>
      <c r="S3275"/>
      <c r="T3275"/>
      <c r="U3275"/>
      <c r="V3275"/>
      <c r="W3275">
        <v>18</v>
      </c>
    </row>
    <row r="3276" spans="1:23">
      <c r="A3276"/>
      <c r="B3276" t="s">
        <v>83</v>
      </c>
      <c r="C3276" t="s">
        <v>83</v>
      </c>
      <c r="D3276" t="s">
        <v>33</v>
      </c>
      <c r="E3276" t="s">
        <v>34</v>
      </c>
      <c r="F3276" t="str">
        <f>"0003575"</f>
        <v>0003575</v>
      </c>
      <c r="G3276">
        <v>1</v>
      </c>
      <c r="H3276" t="str">
        <f>"00000000"</f>
        <v>00000000</v>
      </c>
      <c r="I3276" t="s">
        <v>35</v>
      </c>
      <c r="J3276"/>
      <c r="K3276">
        <v>1.53</v>
      </c>
      <c r="L3276">
        <v>0.0</v>
      </c>
      <c r="M3276"/>
      <c r="N3276"/>
      <c r="O3276">
        <v>0.27</v>
      </c>
      <c r="P3276">
        <v>0.0</v>
      </c>
      <c r="Q3276">
        <v>1.8</v>
      </c>
      <c r="R3276"/>
      <c r="S3276"/>
      <c r="T3276"/>
      <c r="U3276"/>
      <c r="V3276"/>
      <c r="W3276">
        <v>18</v>
      </c>
    </row>
    <row r="3277" spans="1:23">
      <c r="A3277"/>
      <c r="B3277" t="s">
        <v>83</v>
      </c>
      <c r="C3277" t="s">
        <v>83</v>
      </c>
      <c r="D3277" t="s">
        <v>33</v>
      </c>
      <c r="E3277" t="s">
        <v>34</v>
      </c>
      <c r="F3277" t="str">
        <f>"0003576"</f>
        <v>0003576</v>
      </c>
      <c r="G3277">
        <v>1</v>
      </c>
      <c r="H3277" t="str">
        <f>"00000000"</f>
        <v>00000000</v>
      </c>
      <c r="I3277" t="s">
        <v>35</v>
      </c>
      <c r="J3277"/>
      <c r="K3277">
        <v>21.78</v>
      </c>
      <c r="L3277">
        <v>0.0</v>
      </c>
      <c r="M3277"/>
      <c r="N3277"/>
      <c r="O3277">
        <v>3.92</v>
      </c>
      <c r="P3277">
        <v>0.0</v>
      </c>
      <c r="Q3277">
        <v>25.7</v>
      </c>
      <c r="R3277"/>
      <c r="S3277"/>
      <c r="T3277"/>
      <c r="U3277"/>
      <c r="V3277"/>
      <c r="W3277">
        <v>18</v>
      </c>
    </row>
    <row r="3278" spans="1:23">
      <c r="A3278"/>
      <c r="B3278" t="s">
        <v>83</v>
      </c>
      <c r="C3278" t="s">
        <v>83</v>
      </c>
      <c r="D3278" t="s">
        <v>33</v>
      </c>
      <c r="E3278" t="s">
        <v>34</v>
      </c>
      <c r="F3278" t="str">
        <f>"0003577"</f>
        <v>0003577</v>
      </c>
      <c r="G3278">
        <v>1</v>
      </c>
      <c r="H3278" t="str">
        <f>"00000000"</f>
        <v>00000000</v>
      </c>
      <c r="I3278" t="s">
        <v>35</v>
      </c>
      <c r="J3278"/>
      <c r="K3278">
        <v>57.73</v>
      </c>
      <c r="L3278">
        <v>0.0</v>
      </c>
      <c r="M3278"/>
      <c r="N3278"/>
      <c r="O3278">
        <v>10.39</v>
      </c>
      <c r="P3278">
        <v>0.2</v>
      </c>
      <c r="Q3278">
        <v>68.32</v>
      </c>
      <c r="R3278"/>
      <c r="S3278"/>
      <c r="T3278"/>
      <c r="U3278"/>
      <c r="V3278"/>
      <c r="W3278">
        <v>18</v>
      </c>
    </row>
    <row r="3279" spans="1:23">
      <c r="A3279"/>
      <c r="B3279" t="s">
        <v>83</v>
      </c>
      <c r="C3279" t="s">
        <v>83</v>
      </c>
      <c r="D3279" t="s">
        <v>33</v>
      </c>
      <c r="E3279" t="s">
        <v>34</v>
      </c>
      <c r="F3279" t="str">
        <f>"0003578"</f>
        <v>0003578</v>
      </c>
      <c r="G3279">
        <v>1</v>
      </c>
      <c r="H3279" t="str">
        <f>"00000000"</f>
        <v>00000000</v>
      </c>
      <c r="I3279" t="s">
        <v>35</v>
      </c>
      <c r="J3279"/>
      <c r="K3279">
        <v>3.39</v>
      </c>
      <c r="L3279">
        <v>0.0</v>
      </c>
      <c r="M3279"/>
      <c r="N3279"/>
      <c r="O3279">
        <v>0.61</v>
      </c>
      <c r="P3279">
        <v>0.0</v>
      </c>
      <c r="Q3279">
        <v>4.0</v>
      </c>
      <c r="R3279"/>
      <c r="S3279"/>
      <c r="T3279"/>
      <c r="U3279"/>
      <c r="V3279"/>
      <c r="W3279">
        <v>18</v>
      </c>
    </row>
    <row r="3280" spans="1:23">
      <c r="A3280"/>
      <c r="B3280" t="s">
        <v>83</v>
      </c>
      <c r="C3280" t="s">
        <v>83</v>
      </c>
      <c r="D3280" t="s">
        <v>36</v>
      </c>
      <c r="E3280" t="s">
        <v>37</v>
      </c>
      <c r="F3280" t="str">
        <f>"0000046"</f>
        <v>0000046</v>
      </c>
      <c r="G3280">
        <v>6</v>
      </c>
      <c r="H3280" t="str">
        <f>"20136316541"</f>
        <v>20136316541</v>
      </c>
      <c r="I3280" t="s">
        <v>47</v>
      </c>
      <c r="J3280"/>
      <c r="K3280">
        <v>12.29</v>
      </c>
      <c r="L3280">
        <v>0.0</v>
      </c>
      <c r="M3280"/>
      <c r="N3280"/>
      <c r="O3280">
        <v>2.21</v>
      </c>
      <c r="P3280">
        <v>0.0</v>
      </c>
      <c r="Q3280">
        <v>14.5</v>
      </c>
      <c r="R3280"/>
      <c r="S3280"/>
      <c r="T3280"/>
      <c r="U3280"/>
      <c r="V3280"/>
      <c r="W3280">
        <v>18</v>
      </c>
    </row>
    <row r="3281" spans="1:23">
      <c r="A3281"/>
      <c r="B3281" t="s">
        <v>83</v>
      </c>
      <c r="C3281" t="s">
        <v>83</v>
      </c>
      <c r="D3281" t="s">
        <v>33</v>
      </c>
      <c r="E3281" t="s">
        <v>34</v>
      </c>
      <c r="F3281" t="str">
        <f>"0003579"</f>
        <v>0003579</v>
      </c>
      <c r="G3281">
        <v>1</v>
      </c>
      <c r="H3281" t="str">
        <f>"00000000"</f>
        <v>00000000</v>
      </c>
      <c r="I3281" t="s">
        <v>35</v>
      </c>
      <c r="J3281"/>
      <c r="K3281">
        <v>9.05</v>
      </c>
      <c r="L3281">
        <v>4.99</v>
      </c>
      <c r="M3281"/>
      <c r="N3281"/>
      <c r="O3281">
        <v>1.63</v>
      </c>
      <c r="P3281">
        <v>0.0</v>
      </c>
      <c r="Q3281">
        <v>15.67</v>
      </c>
      <c r="R3281"/>
      <c r="S3281"/>
      <c r="T3281"/>
      <c r="U3281"/>
      <c r="V3281"/>
      <c r="W3281">
        <v>18</v>
      </c>
    </row>
    <row r="3282" spans="1:23">
      <c r="A3282"/>
      <c r="B3282" t="s">
        <v>83</v>
      </c>
      <c r="C3282" t="s">
        <v>83</v>
      </c>
      <c r="D3282" t="s">
        <v>33</v>
      </c>
      <c r="E3282" t="s">
        <v>34</v>
      </c>
      <c r="F3282" t="str">
        <f>"0003580"</f>
        <v>0003580</v>
      </c>
      <c r="G3282">
        <v>1</v>
      </c>
      <c r="H3282" t="str">
        <f>"00000000"</f>
        <v>00000000</v>
      </c>
      <c r="I3282" t="s">
        <v>35</v>
      </c>
      <c r="J3282"/>
      <c r="K3282">
        <v>3.22</v>
      </c>
      <c r="L3282">
        <v>0.0</v>
      </c>
      <c r="M3282"/>
      <c r="N3282"/>
      <c r="O3282">
        <v>0.58</v>
      </c>
      <c r="P3282">
        <v>0.0</v>
      </c>
      <c r="Q3282">
        <v>3.8</v>
      </c>
      <c r="R3282"/>
      <c r="S3282"/>
      <c r="T3282"/>
      <c r="U3282"/>
      <c r="V3282"/>
      <c r="W3282">
        <v>18</v>
      </c>
    </row>
    <row r="3283" spans="1:23">
      <c r="A3283"/>
      <c r="B3283" t="s">
        <v>83</v>
      </c>
      <c r="C3283" t="s">
        <v>83</v>
      </c>
      <c r="D3283" t="s">
        <v>33</v>
      </c>
      <c r="E3283" t="s">
        <v>34</v>
      </c>
      <c r="F3283" t="str">
        <f>"0003581"</f>
        <v>0003581</v>
      </c>
      <c r="G3283">
        <v>1</v>
      </c>
      <c r="H3283" t="str">
        <f>"00000000"</f>
        <v>00000000</v>
      </c>
      <c r="I3283" t="s">
        <v>35</v>
      </c>
      <c r="J3283"/>
      <c r="K3283">
        <v>5.51</v>
      </c>
      <c r="L3283">
        <v>0.0</v>
      </c>
      <c r="M3283"/>
      <c r="N3283"/>
      <c r="O3283">
        <v>0.99</v>
      </c>
      <c r="P3283">
        <v>0.0</v>
      </c>
      <c r="Q3283">
        <v>6.5</v>
      </c>
      <c r="R3283"/>
      <c r="S3283"/>
      <c r="T3283"/>
      <c r="U3283"/>
      <c r="V3283"/>
      <c r="W3283">
        <v>18</v>
      </c>
    </row>
    <row r="3284" spans="1:23">
      <c r="A3284"/>
      <c r="B3284" t="s">
        <v>83</v>
      </c>
      <c r="C3284" t="s">
        <v>83</v>
      </c>
      <c r="D3284" t="s">
        <v>33</v>
      </c>
      <c r="E3284" t="s">
        <v>34</v>
      </c>
      <c r="F3284" t="str">
        <f>"0003582"</f>
        <v>0003582</v>
      </c>
      <c r="G3284">
        <v>1</v>
      </c>
      <c r="H3284" t="str">
        <f>"00000000"</f>
        <v>00000000</v>
      </c>
      <c r="I3284" t="s">
        <v>35</v>
      </c>
      <c r="J3284"/>
      <c r="K3284">
        <v>5.66</v>
      </c>
      <c r="L3284">
        <v>24.57</v>
      </c>
      <c r="M3284"/>
      <c r="N3284"/>
      <c r="O3284">
        <v>1.02</v>
      </c>
      <c r="P3284">
        <v>0.2</v>
      </c>
      <c r="Q3284">
        <v>31.45</v>
      </c>
      <c r="R3284"/>
      <c r="S3284"/>
      <c r="T3284"/>
      <c r="U3284"/>
      <c r="V3284"/>
      <c r="W3284">
        <v>18</v>
      </c>
    </row>
    <row r="3285" spans="1:23">
      <c r="A3285"/>
      <c r="B3285" t="s">
        <v>83</v>
      </c>
      <c r="C3285" t="s">
        <v>83</v>
      </c>
      <c r="D3285" t="s">
        <v>33</v>
      </c>
      <c r="E3285" t="s">
        <v>34</v>
      </c>
      <c r="F3285" t="str">
        <f>"0003583"</f>
        <v>0003583</v>
      </c>
      <c r="G3285">
        <v>1</v>
      </c>
      <c r="H3285" t="str">
        <f>"00000000"</f>
        <v>00000000</v>
      </c>
      <c r="I3285" t="s">
        <v>35</v>
      </c>
      <c r="J3285"/>
      <c r="K3285">
        <v>81.05</v>
      </c>
      <c r="L3285">
        <v>3.5</v>
      </c>
      <c r="M3285"/>
      <c r="N3285"/>
      <c r="O3285">
        <v>14.59</v>
      </c>
      <c r="P3285">
        <v>0.4</v>
      </c>
      <c r="Q3285">
        <v>99.54</v>
      </c>
      <c r="R3285"/>
      <c r="S3285"/>
      <c r="T3285"/>
      <c r="U3285"/>
      <c r="V3285"/>
      <c r="W3285">
        <v>18</v>
      </c>
    </row>
    <row r="3286" spans="1:23">
      <c r="A3286"/>
      <c r="B3286" t="s">
        <v>83</v>
      </c>
      <c r="C3286" t="s">
        <v>83</v>
      </c>
      <c r="D3286" t="s">
        <v>33</v>
      </c>
      <c r="E3286" t="s">
        <v>34</v>
      </c>
      <c r="F3286" t="str">
        <f>"0003584"</f>
        <v>0003584</v>
      </c>
      <c r="G3286">
        <v>1</v>
      </c>
      <c r="H3286" t="str">
        <f>"00000000"</f>
        <v>00000000</v>
      </c>
      <c r="I3286" t="s">
        <v>35</v>
      </c>
      <c r="J3286"/>
      <c r="K3286">
        <v>1.27</v>
      </c>
      <c r="L3286">
        <v>0.0</v>
      </c>
      <c r="M3286"/>
      <c r="N3286"/>
      <c r="O3286">
        <v>0.23</v>
      </c>
      <c r="P3286">
        <v>0.0</v>
      </c>
      <c r="Q3286">
        <v>1.5</v>
      </c>
      <c r="R3286"/>
      <c r="S3286"/>
      <c r="T3286"/>
      <c r="U3286"/>
      <c r="V3286"/>
      <c r="W3286">
        <v>18</v>
      </c>
    </row>
    <row r="3287" spans="1:23">
      <c r="A3287"/>
      <c r="B3287" t="s">
        <v>83</v>
      </c>
      <c r="C3287" t="s">
        <v>83</v>
      </c>
      <c r="D3287" t="s">
        <v>33</v>
      </c>
      <c r="E3287" t="s">
        <v>34</v>
      </c>
      <c r="F3287" t="str">
        <f>"0003585"</f>
        <v>0003585</v>
      </c>
      <c r="G3287">
        <v>1</v>
      </c>
      <c r="H3287" t="str">
        <f>"00000000"</f>
        <v>00000000</v>
      </c>
      <c r="I3287" t="s">
        <v>35</v>
      </c>
      <c r="J3287"/>
      <c r="K3287">
        <v>38.66</v>
      </c>
      <c r="L3287">
        <v>0.0</v>
      </c>
      <c r="M3287"/>
      <c r="N3287"/>
      <c r="O3287">
        <v>6.96</v>
      </c>
      <c r="P3287">
        <v>0.2</v>
      </c>
      <c r="Q3287">
        <v>45.82</v>
      </c>
      <c r="R3287"/>
      <c r="S3287"/>
      <c r="T3287"/>
      <c r="U3287"/>
      <c r="V3287"/>
      <c r="W3287">
        <v>18</v>
      </c>
    </row>
    <row r="3288" spans="1:23">
      <c r="A3288"/>
      <c r="B3288" t="s">
        <v>83</v>
      </c>
      <c r="C3288" t="s">
        <v>83</v>
      </c>
      <c r="D3288" t="s">
        <v>33</v>
      </c>
      <c r="E3288" t="s">
        <v>34</v>
      </c>
      <c r="F3288" t="str">
        <f>"0003586"</f>
        <v>0003586</v>
      </c>
      <c r="G3288">
        <v>1</v>
      </c>
      <c r="H3288" t="str">
        <f>"00000000"</f>
        <v>00000000</v>
      </c>
      <c r="I3288" t="s">
        <v>35</v>
      </c>
      <c r="J3288"/>
      <c r="K3288">
        <v>22.9</v>
      </c>
      <c r="L3288">
        <v>0.0</v>
      </c>
      <c r="M3288"/>
      <c r="N3288"/>
      <c r="O3288">
        <v>4.12</v>
      </c>
      <c r="P3288">
        <v>0.2</v>
      </c>
      <c r="Q3288">
        <v>27.22</v>
      </c>
      <c r="R3288"/>
      <c r="S3288"/>
      <c r="T3288"/>
      <c r="U3288"/>
      <c r="V3288"/>
      <c r="W3288">
        <v>18</v>
      </c>
    </row>
    <row r="3289" spans="1:23">
      <c r="A3289"/>
      <c r="B3289" t="s">
        <v>83</v>
      </c>
      <c r="C3289" t="s">
        <v>83</v>
      </c>
      <c r="D3289" t="s">
        <v>33</v>
      </c>
      <c r="E3289" t="s">
        <v>34</v>
      </c>
      <c r="F3289" t="str">
        <f>"0003587"</f>
        <v>0003587</v>
      </c>
      <c r="G3289">
        <v>1</v>
      </c>
      <c r="H3289" t="str">
        <f>"00000000"</f>
        <v>00000000</v>
      </c>
      <c r="I3289" t="s">
        <v>35</v>
      </c>
      <c r="J3289"/>
      <c r="K3289">
        <v>4.24</v>
      </c>
      <c r="L3289">
        <v>0.0</v>
      </c>
      <c r="M3289"/>
      <c r="N3289"/>
      <c r="O3289">
        <v>0.76</v>
      </c>
      <c r="P3289">
        <v>0.0</v>
      </c>
      <c r="Q3289">
        <v>5.0</v>
      </c>
      <c r="R3289"/>
      <c r="S3289"/>
      <c r="T3289"/>
      <c r="U3289"/>
      <c r="V3289"/>
      <c r="W3289">
        <v>18</v>
      </c>
    </row>
    <row r="3290" spans="1:23">
      <c r="A3290"/>
      <c r="B3290" t="s">
        <v>83</v>
      </c>
      <c r="C3290" t="s">
        <v>83</v>
      </c>
      <c r="D3290" t="s">
        <v>33</v>
      </c>
      <c r="E3290" t="s">
        <v>34</v>
      </c>
      <c r="F3290" t="str">
        <f>"0003588"</f>
        <v>0003588</v>
      </c>
      <c r="G3290">
        <v>1</v>
      </c>
      <c r="H3290" t="str">
        <f>"00000000"</f>
        <v>00000000</v>
      </c>
      <c r="I3290" t="s">
        <v>35</v>
      </c>
      <c r="J3290"/>
      <c r="K3290">
        <v>26.89</v>
      </c>
      <c r="L3290">
        <v>0.0</v>
      </c>
      <c r="M3290"/>
      <c r="N3290"/>
      <c r="O3290">
        <v>4.84</v>
      </c>
      <c r="P3290">
        <v>0.0</v>
      </c>
      <c r="Q3290">
        <v>31.72</v>
      </c>
      <c r="R3290"/>
      <c r="S3290"/>
      <c r="T3290"/>
      <c r="U3290"/>
      <c r="V3290"/>
      <c r="W3290">
        <v>18</v>
      </c>
    </row>
    <row r="3291" spans="1:23">
      <c r="A3291"/>
      <c r="B3291" t="s">
        <v>83</v>
      </c>
      <c r="C3291" t="s">
        <v>83</v>
      </c>
      <c r="D3291" t="s">
        <v>33</v>
      </c>
      <c r="E3291" t="s">
        <v>34</v>
      </c>
      <c r="F3291" t="str">
        <f>"0003589"</f>
        <v>0003589</v>
      </c>
      <c r="G3291">
        <v>1</v>
      </c>
      <c r="H3291" t="str">
        <f>"00000000"</f>
        <v>00000000</v>
      </c>
      <c r="I3291" t="s">
        <v>35</v>
      </c>
      <c r="J3291"/>
      <c r="K3291">
        <v>3.41</v>
      </c>
      <c r="L3291">
        <v>0.0</v>
      </c>
      <c r="M3291"/>
      <c r="N3291"/>
      <c r="O3291">
        <v>0.61</v>
      </c>
      <c r="P3291">
        <v>0.2</v>
      </c>
      <c r="Q3291">
        <v>4.22</v>
      </c>
      <c r="R3291"/>
      <c r="S3291"/>
      <c r="T3291"/>
      <c r="U3291"/>
      <c r="V3291"/>
      <c r="W3291">
        <v>18</v>
      </c>
    </row>
    <row r="3292" spans="1:23">
      <c r="A3292"/>
      <c r="B3292" t="s">
        <v>83</v>
      </c>
      <c r="C3292" t="s">
        <v>83</v>
      </c>
      <c r="D3292" t="s">
        <v>33</v>
      </c>
      <c r="E3292" t="s">
        <v>34</v>
      </c>
      <c r="F3292" t="str">
        <f>"0003590"</f>
        <v>0003590</v>
      </c>
      <c r="G3292">
        <v>1</v>
      </c>
      <c r="H3292" t="str">
        <f>"00000000"</f>
        <v>00000000</v>
      </c>
      <c r="I3292" t="s">
        <v>35</v>
      </c>
      <c r="J3292"/>
      <c r="K3292">
        <v>10.25</v>
      </c>
      <c r="L3292">
        <v>0.0</v>
      </c>
      <c r="M3292"/>
      <c r="N3292"/>
      <c r="O3292">
        <v>1.84</v>
      </c>
      <c r="P3292">
        <v>0.0</v>
      </c>
      <c r="Q3292">
        <v>12.09</v>
      </c>
      <c r="R3292"/>
      <c r="S3292"/>
      <c r="T3292"/>
      <c r="U3292"/>
      <c r="V3292"/>
      <c r="W3292">
        <v>18</v>
      </c>
    </row>
    <row r="3293" spans="1:23">
      <c r="A3293"/>
      <c r="B3293" t="s">
        <v>83</v>
      </c>
      <c r="C3293" t="s">
        <v>83</v>
      </c>
      <c r="D3293" t="s">
        <v>33</v>
      </c>
      <c r="E3293" t="s">
        <v>34</v>
      </c>
      <c r="F3293" t="str">
        <f>"0003591"</f>
        <v>0003591</v>
      </c>
      <c r="G3293">
        <v>1</v>
      </c>
      <c r="H3293" t="str">
        <f>"00000000"</f>
        <v>00000000</v>
      </c>
      <c r="I3293" t="s">
        <v>35</v>
      </c>
      <c r="J3293"/>
      <c r="K3293">
        <v>14.49</v>
      </c>
      <c r="L3293">
        <v>0.0</v>
      </c>
      <c r="M3293"/>
      <c r="N3293"/>
      <c r="O3293">
        <v>2.61</v>
      </c>
      <c r="P3293">
        <v>0.0</v>
      </c>
      <c r="Q3293">
        <v>17.1</v>
      </c>
      <c r="R3293"/>
      <c r="S3293"/>
      <c r="T3293"/>
      <c r="U3293"/>
      <c r="V3293"/>
      <c r="W3293">
        <v>18</v>
      </c>
    </row>
    <row r="3294" spans="1:23">
      <c r="A3294"/>
      <c r="B3294" t="s">
        <v>83</v>
      </c>
      <c r="C3294" t="s">
        <v>83</v>
      </c>
      <c r="D3294" t="s">
        <v>33</v>
      </c>
      <c r="E3294" t="s">
        <v>34</v>
      </c>
      <c r="F3294" t="str">
        <f>"0003592"</f>
        <v>0003592</v>
      </c>
      <c r="G3294">
        <v>1</v>
      </c>
      <c r="H3294" t="str">
        <f>"00000000"</f>
        <v>00000000</v>
      </c>
      <c r="I3294" t="s">
        <v>35</v>
      </c>
      <c r="J3294"/>
      <c r="K3294">
        <v>0.02</v>
      </c>
      <c r="L3294">
        <v>0.0</v>
      </c>
      <c r="M3294"/>
      <c r="N3294"/>
      <c r="O3294">
        <v>0.0</v>
      </c>
      <c r="P3294">
        <v>0.2</v>
      </c>
      <c r="Q3294">
        <v>0.22</v>
      </c>
      <c r="R3294"/>
      <c r="S3294"/>
      <c r="T3294"/>
      <c r="U3294"/>
      <c r="V3294"/>
      <c r="W3294">
        <v>18</v>
      </c>
    </row>
    <row r="3295" spans="1:23">
      <c r="A3295"/>
      <c r="B3295" t="s">
        <v>83</v>
      </c>
      <c r="C3295" t="s">
        <v>83</v>
      </c>
      <c r="D3295" t="s">
        <v>33</v>
      </c>
      <c r="E3295" t="s">
        <v>34</v>
      </c>
      <c r="F3295" t="str">
        <f>"0003593"</f>
        <v>0003593</v>
      </c>
      <c r="G3295">
        <v>1</v>
      </c>
      <c r="H3295" t="str">
        <f>"00000000"</f>
        <v>00000000</v>
      </c>
      <c r="I3295" t="s">
        <v>35</v>
      </c>
      <c r="J3295"/>
      <c r="K3295">
        <v>9.83</v>
      </c>
      <c r="L3295">
        <v>0.0</v>
      </c>
      <c r="M3295"/>
      <c r="N3295"/>
      <c r="O3295">
        <v>1.77</v>
      </c>
      <c r="P3295">
        <v>0.0</v>
      </c>
      <c r="Q3295">
        <v>11.6</v>
      </c>
      <c r="R3295"/>
      <c r="S3295"/>
      <c r="T3295"/>
      <c r="U3295"/>
      <c r="V3295"/>
      <c r="W3295">
        <v>18</v>
      </c>
    </row>
    <row r="3296" spans="1:23">
      <c r="A3296"/>
      <c r="B3296" t="s">
        <v>83</v>
      </c>
      <c r="C3296" t="s">
        <v>83</v>
      </c>
      <c r="D3296" t="s">
        <v>33</v>
      </c>
      <c r="E3296" t="s">
        <v>34</v>
      </c>
      <c r="F3296" t="str">
        <f>"0003594"</f>
        <v>0003594</v>
      </c>
      <c r="G3296">
        <v>1</v>
      </c>
      <c r="H3296" t="str">
        <f>"00000000"</f>
        <v>00000000</v>
      </c>
      <c r="I3296" t="s">
        <v>35</v>
      </c>
      <c r="J3296"/>
      <c r="K3296">
        <v>20.24</v>
      </c>
      <c r="L3296">
        <v>3.41</v>
      </c>
      <c r="M3296"/>
      <c r="N3296"/>
      <c r="O3296">
        <v>3.64</v>
      </c>
      <c r="P3296">
        <v>0.0</v>
      </c>
      <c r="Q3296">
        <v>27.29</v>
      </c>
      <c r="R3296"/>
      <c r="S3296"/>
      <c r="T3296"/>
      <c r="U3296"/>
      <c r="V3296"/>
      <c r="W3296">
        <v>18</v>
      </c>
    </row>
    <row r="3297" spans="1:23">
      <c r="A3297"/>
      <c r="B3297" t="s">
        <v>83</v>
      </c>
      <c r="C3297" t="s">
        <v>83</v>
      </c>
      <c r="D3297" t="s">
        <v>33</v>
      </c>
      <c r="E3297" t="s">
        <v>34</v>
      </c>
      <c r="F3297" t="str">
        <f>"0003595"</f>
        <v>0003595</v>
      </c>
      <c r="G3297">
        <v>1</v>
      </c>
      <c r="H3297" t="str">
        <f>"00000000"</f>
        <v>00000000</v>
      </c>
      <c r="I3297" t="s">
        <v>35</v>
      </c>
      <c r="J3297"/>
      <c r="K3297">
        <v>8.47</v>
      </c>
      <c r="L3297">
        <v>0.0</v>
      </c>
      <c r="M3297"/>
      <c r="N3297"/>
      <c r="O3297">
        <v>1.53</v>
      </c>
      <c r="P3297">
        <v>0.0</v>
      </c>
      <c r="Q3297">
        <v>10.0</v>
      </c>
      <c r="R3297"/>
      <c r="S3297"/>
      <c r="T3297"/>
      <c r="U3297"/>
      <c r="V3297"/>
      <c r="W3297">
        <v>18</v>
      </c>
    </row>
    <row r="3298" spans="1:23">
      <c r="A3298"/>
      <c r="B3298" t="s">
        <v>83</v>
      </c>
      <c r="C3298" t="s">
        <v>83</v>
      </c>
      <c r="D3298" t="s">
        <v>33</v>
      </c>
      <c r="E3298" t="s">
        <v>34</v>
      </c>
      <c r="F3298" t="str">
        <f>"0003596"</f>
        <v>0003596</v>
      </c>
      <c r="G3298">
        <v>1</v>
      </c>
      <c r="H3298" t="str">
        <f>"00000000"</f>
        <v>00000000</v>
      </c>
      <c r="I3298" t="s">
        <v>35</v>
      </c>
      <c r="J3298"/>
      <c r="K3298">
        <v>54.74</v>
      </c>
      <c r="L3298">
        <v>11.46</v>
      </c>
      <c r="M3298"/>
      <c r="N3298"/>
      <c r="O3298">
        <v>9.85</v>
      </c>
      <c r="P3298">
        <v>0.2</v>
      </c>
      <c r="Q3298">
        <v>76.25</v>
      </c>
      <c r="R3298"/>
      <c r="S3298"/>
      <c r="T3298"/>
      <c r="U3298"/>
      <c r="V3298"/>
      <c r="W3298">
        <v>18</v>
      </c>
    </row>
    <row r="3299" spans="1:23">
      <c r="A3299"/>
      <c r="B3299" t="s">
        <v>83</v>
      </c>
      <c r="C3299" t="s">
        <v>83</v>
      </c>
      <c r="D3299" t="s">
        <v>33</v>
      </c>
      <c r="E3299" t="s">
        <v>34</v>
      </c>
      <c r="F3299" t="str">
        <f>"0003597"</f>
        <v>0003597</v>
      </c>
      <c r="G3299">
        <v>1</v>
      </c>
      <c r="H3299" t="str">
        <f>"00000000"</f>
        <v>00000000</v>
      </c>
      <c r="I3299" t="s">
        <v>35</v>
      </c>
      <c r="J3299"/>
      <c r="K3299">
        <v>2.97</v>
      </c>
      <c r="L3299">
        <v>0.0</v>
      </c>
      <c r="M3299"/>
      <c r="N3299"/>
      <c r="O3299">
        <v>0.53</v>
      </c>
      <c r="P3299">
        <v>0.0</v>
      </c>
      <c r="Q3299">
        <v>3.5</v>
      </c>
      <c r="R3299"/>
      <c r="S3299"/>
      <c r="T3299"/>
      <c r="U3299"/>
      <c r="V3299"/>
      <c r="W3299">
        <v>18</v>
      </c>
    </row>
    <row r="3300" spans="1:23">
      <c r="A3300"/>
      <c r="B3300" t="s">
        <v>83</v>
      </c>
      <c r="C3300" t="s">
        <v>83</v>
      </c>
      <c r="D3300" t="s">
        <v>33</v>
      </c>
      <c r="E3300" t="s">
        <v>34</v>
      </c>
      <c r="F3300" t="str">
        <f>"0003598"</f>
        <v>0003598</v>
      </c>
      <c r="G3300">
        <v>1</v>
      </c>
      <c r="H3300" t="str">
        <f>"00000000"</f>
        <v>00000000</v>
      </c>
      <c r="I3300" t="s">
        <v>35</v>
      </c>
      <c r="J3300"/>
      <c r="K3300">
        <v>36.71</v>
      </c>
      <c r="L3300">
        <v>9.23</v>
      </c>
      <c r="M3300"/>
      <c r="N3300"/>
      <c r="O3300">
        <v>6.61</v>
      </c>
      <c r="P3300">
        <v>0.2</v>
      </c>
      <c r="Q3300">
        <v>52.75</v>
      </c>
      <c r="R3300"/>
      <c r="S3300"/>
      <c r="T3300"/>
      <c r="U3300"/>
      <c r="V3300"/>
      <c r="W3300">
        <v>18</v>
      </c>
    </row>
    <row r="3301" spans="1:23">
      <c r="A3301"/>
      <c r="B3301" t="s">
        <v>83</v>
      </c>
      <c r="C3301" t="s">
        <v>83</v>
      </c>
      <c r="D3301" t="s">
        <v>33</v>
      </c>
      <c r="E3301" t="s">
        <v>34</v>
      </c>
      <c r="F3301" t="str">
        <f>"0003599"</f>
        <v>0003599</v>
      </c>
      <c r="G3301">
        <v>1</v>
      </c>
      <c r="H3301" t="str">
        <f>"00000000"</f>
        <v>00000000</v>
      </c>
      <c r="I3301" t="s">
        <v>35</v>
      </c>
      <c r="J3301"/>
      <c r="K3301">
        <v>22.21</v>
      </c>
      <c r="L3301">
        <v>6.52</v>
      </c>
      <c r="M3301"/>
      <c r="N3301"/>
      <c r="O3301">
        <v>4.0</v>
      </c>
      <c r="P3301">
        <v>0.2</v>
      </c>
      <c r="Q3301">
        <v>32.93</v>
      </c>
      <c r="R3301"/>
      <c r="S3301"/>
      <c r="T3301"/>
      <c r="U3301"/>
      <c r="V3301"/>
      <c r="W3301">
        <v>18</v>
      </c>
    </row>
    <row r="3302" spans="1:23">
      <c r="A3302"/>
      <c r="B3302" t="s">
        <v>83</v>
      </c>
      <c r="C3302" t="s">
        <v>83</v>
      </c>
      <c r="D3302" t="s">
        <v>33</v>
      </c>
      <c r="E3302" t="s">
        <v>34</v>
      </c>
      <c r="F3302" t="str">
        <f>"0003600"</f>
        <v>0003600</v>
      </c>
      <c r="G3302">
        <v>1</v>
      </c>
      <c r="H3302" t="str">
        <f>"00000000"</f>
        <v>00000000</v>
      </c>
      <c r="I3302" t="s">
        <v>35</v>
      </c>
      <c r="J3302"/>
      <c r="K3302">
        <v>17.58</v>
      </c>
      <c r="L3302">
        <v>0.0</v>
      </c>
      <c r="M3302"/>
      <c r="N3302"/>
      <c r="O3302">
        <v>3.17</v>
      </c>
      <c r="P3302">
        <v>0.0</v>
      </c>
      <c r="Q3302">
        <v>20.75</v>
      </c>
      <c r="R3302"/>
      <c r="S3302"/>
      <c r="T3302"/>
      <c r="U3302"/>
      <c r="V3302"/>
      <c r="W3302">
        <v>18</v>
      </c>
    </row>
    <row r="3303" spans="1:23">
      <c r="A3303"/>
      <c r="B3303" t="s">
        <v>83</v>
      </c>
      <c r="C3303" t="s">
        <v>83</v>
      </c>
      <c r="D3303" t="s">
        <v>33</v>
      </c>
      <c r="E3303" t="s">
        <v>34</v>
      </c>
      <c r="F3303" t="str">
        <f>"0003601"</f>
        <v>0003601</v>
      </c>
      <c r="G3303">
        <v>1</v>
      </c>
      <c r="H3303" t="str">
        <f>"00000000"</f>
        <v>00000000</v>
      </c>
      <c r="I3303" t="s">
        <v>35</v>
      </c>
      <c r="J3303"/>
      <c r="K3303">
        <v>0.85</v>
      </c>
      <c r="L3303">
        <v>0.0</v>
      </c>
      <c r="M3303"/>
      <c r="N3303"/>
      <c r="O3303">
        <v>0.15</v>
      </c>
      <c r="P3303">
        <v>0.0</v>
      </c>
      <c r="Q3303">
        <v>1.0</v>
      </c>
      <c r="R3303"/>
      <c r="S3303"/>
      <c r="T3303"/>
      <c r="U3303"/>
      <c r="V3303"/>
      <c r="W3303">
        <v>18</v>
      </c>
    </row>
    <row r="3304" spans="1:23">
      <c r="A3304"/>
      <c r="B3304" t="s">
        <v>83</v>
      </c>
      <c r="C3304" t="s">
        <v>83</v>
      </c>
      <c r="D3304" t="s">
        <v>33</v>
      </c>
      <c r="E3304" t="s">
        <v>34</v>
      </c>
      <c r="F3304" t="str">
        <f>"0003602"</f>
        <v>0003602</v>
      </c>
      <c r="G3304">
        <v>1</v>
      </c>
      <c r="H3304" t="str">
        <f>"00000000"</f>
        <v>00000000</v>
      </c>
      <c r="I3304" t="s">
        <v>35</v>
      </c>
      <c r="J3304"/>
      <c r="K3304">
        <v>11.63</v>
      </c>
      <c r="L3304">
        <v>14.12</v>
      </c>
      <c r="M3304"/>
      <c r="N3304"/>
      <c r="O3304">
        <v>2.09</v>
      </c>
      <c r="P3304">
        <v>0.2</v>
      </c>
      <c r="Q3304">
        <v>28.04</v>
      </c>
      <c r="R3304"/>
      <c r="S3304"/>
      <c r="T3304"/>
      <c r="U3304"/>
      <c r="V3304"/>
      <c r="W3304">
        <v>18</v>
      </c>
    </row>
    <row r="3305" spans="1:23">
      <c r="A3305"/>
      <c r="B3305" t="s">
        <v>83</v>
      </c>
      <c r="C3305" t="s">
        <v>83</v>
      </c>
      <c r="D3305" t="s">
        <v>33</v>
      </c>
      <c r="E3305" t="s">
        <v>34</v>
      </c>
      <c r="F3305" t="str">
        <f>"0003603"</f>
        <v>0003603</v>
      </c>
      <c r="G3305">
        <v>1</v>
      </c>
      <c r="H3305" t="str">
        <f>"00000000"</f>
        <v>00000000</v>
      </c>
      <c r="I3305" t="s">
        <v>35</v>
      </c>
      <c r="J3305"/>
      <c r="K3305">
        <v>0.0</v>
      </c>
      <c r="L3305">
        <v>3.1</v>
      </c>
      <c r="M3305"/>
      <c r="N3305"/>
      <c r="O3305">
        <v>0.0</v>
      </c>
      <c r="P3305">
        <v>0.0</v>
      </c>
      <c r="Q3305">
        <v>3.1</v>
      </c>
      <c r="R3305"/>
      <c r="S3305"/>
      <c r="T3305"/>
      <c r="U3305"/>
      <c r="V3305"/>
      <c r="W3305">
        <v>18</v>
      </c>
    </row>
    <row r="3306" spans="1:23">
      <c r="A3306"/>
      <c r="B3306" t="s">
        <v>83</v>
      </c>
      <c r="C3306" t="s">
        <v>83</v>
      </c>
      <c r="D3306" t="s">
        <v>33</v>
      </c>
      <c r="E3306" t="s">
        <v>34</v>
      </c>
      <c r="F3306" t="str">
        <f>"0003604"</f>
        <v>0003604</v>
      </c>
      <c r="G3306">
        <v>1</v>
      </c>
      <c r="H3306" t="str">
        <f>"00000000"</f>
        <v>00000000</v>
      </c>
      <c r="I3306" t="s">
        <v>35</v>
      </c>
      <c r="J3306"/>
      <c r="K3306">
        <v>4.17</v>
      </c>
      <c r="L3306">
        <v>0.0</v>
      </c>
      <c r="M3306"/>
      <c r="N3306"/>
      <c r="O3306">
        <v>0.75</v>
      </c>
      <c r="P3306">
        <v>0.2</v>
      </c>
      <c r="Q3306">
        <v>5.12</v>
      </c>
      <c r="R3306"/>
      <c r="S3306"/>
      <c r="T3306"/>
      <c r="U3306"/>
      <c r="V3306"/>
      <c r="W3306">
        <v>18</v>
      </c>
    </row>
    <row r="3307" spans="1:23">
      <c r="A3307"/>
      <c r="B3307" t="s">
        <v>83</v>
      </c>
      <c r="C3307" t="s">
        <v>83</v>
      </c>
      <c r="D3307" t="s">
        <v>33</v>
      </c>
      <c r="E3307" t="s">
        <v>34</v>
      </c>
      <c r="F3307" t="str">
        <f>"0003605"</f>
        <v>0003605</v>
      </c>
      <c r="G3307">
        <v>1</v>
      </c>
      <c r="H3307" t="str">
        <f>"00000000"</f>
        <v>00000000</v>
      </c>
      <c r="I3307" t="s">
        <v>35</v>
      </c>
      <c r="J3307"/>
      <c r="K3307">
        <v>3.73</v>
      </c>
      <c r="L3307">
        <v>0.0</v>
      </c>
      <c r="M3307"/>
      <c r="N3307"/>
      <c r="O3307">
        <v>0.67</v>
      </c>
      <c r="P3307">
        <v>0.0</v>
      </c>
      <c r="Q3307">
        <v>4.4</v>
      </c>
      <c r="R3307"/>
      <c r="S3307"/>
      <c r="T3307"/>
      <c r="U3307"/>
      <c r="V3307"/>
      <c r="W3307">
        <v>18</v>
      </c>
    </row>
    <row r="3308" spans="1:23">
      <c r="A3308"/>
      <c r="B3308" t="s">
        <v>83</v>
      </c>
      <c r="C3308" t="s">
        <v>83</v>
      </c>
      <c r="D3308" t="s">
        <v>33</v>
      </c>
      <c r="E3308" t="s">
        <v>34</v>
      </c>
      <c r="F3308" t="str">
        <f>"0003606"</f>
        <v>0003606</v>
      </c>
      <c r="G3308">
        <v>1</v>
      </c>
      <c r="H3308" t="str">
        <f>"00000000"</f>
        <v>00000000</v>
      </c>
      <c r="I3308" t="s">
        <v>35</v>
      </c>
      <c r="J3308"/>
      <c r="K3308">
        <v>2.54</v>
      </c>
      <c r="L3308">
        <v>0.0</v>
      </c>
      <c r="M3308"/>
      <c r="N3308"/>
      <c r="O3308">
        <v>0.46</v>
      </c>
      <c r="P3308">
        <v>0.0</v>
      </c>
      <c r="Q3308">
        <v>3.0</v>
      </c>
      <c r="R3308"/>
      <c r="S3308"/>
      <c r="T3308"/>
      <c r="U3308"/>
      <c r="V3308"/>
      <c r="W3308">
        <v>18</v>
      </c>
    </row>
    <row r="3309" spans="1:23">
      <c r="A3309"/>
      <c r="B3309" t="s">
        <v>83</v>
      </c>
      <c r="C3309" t="s">
        <v>83</v>
      </c>
      <c r="D3309" t="s">
        <v>33</v>
      </c>
      <c r="E3309" t="s">
        <v>34</v>
      </c>
      <c r="F3309" t="str">
        <f>"0003607"</f>
        <v>0003607</v>
      </c>
      <c r="G3309">
        <v>1</v>
      </c>
      <c r="H3309" t="str">
        <f>"00000000"</f>
        <v>00000000</v>
      </c>
      <c r="I3309" t="s">
        <v>35</v>
      </c>
      <c r="J3309"/>
      <c r="K3309">
        <v>5.93</v>
      </c>
      <c r="L3309">
        <v>0.0</v>
      </c>
      <c r="M3309"/>
      <c r="N3309"/>
      <c r="O3309">
        <v>1.07</v>
      </c>
      <c r="P3309">
        <v>0.0</v>
      </c>
      <c r="Q3309">
        <v>7.0</v>
      </c>
      <c r="R3309"/>
      <c r="S3309"/>
      <c r="T3309"/>
      <c r="U3309"/>
      <c r="V3309"/>
      <c r="W3309">
        <v>18</v>
      </c>
    </row>
    <row r="3310" spans="1:23">
      <c r="A3310"/>
      <c r="B3310" t="s">
        <v>83</v>
      </c>
      <c r="C3310" t="s">
        <v>83</v>
      </c>
      <c r="D3310" t="s">
        <v>33</v>
      </c>
      <c r="E3310" t="s">
        <v>34</v>
      </c>
      <c r="F3310" t="str">
        <f>"0003608"</f>
        <v>0003608</v>
      </c>
      <c r="G3310">
        <v>1</v>
      </c>
      <c r="H3310" t="str">
        <f>"00000000"</f>
        <v>00000000</v>
      </c>
      <c r="I3310" t="s">
        <v>35</v>
      </c>
      <c r="J3310"/>
      <c r="K3310">
        <v>38.07</v>
      </c>
      <c r="L3310">
        <v>0.0</v>
      </c>
      <c r="M3310"/>
      <c r="N3310"/>
      <c r="O3310">
        <v>6.85</v>
      </c>
      <c r="P3310">
        <v>0.2</v>
      </c>
      <c r="Q3310">
        <v>45.12</v>
      </c>
      <c r="R3310"/>
      <c r="S3310"/>
      <c r="T3310"/>
      <c r="U3310"/>
      <c r="V3310"/>
      <c r="W3310">
        <v>18</v>
      </c>
    </row>
    <row r="3311" spans="1:23">
      <c r="A3311"/>
      <c r="B3311" t="s">
        <v>83</v>
      </c>
      <c r="C3311" t="s">
        <v>83</v>
      </c>
      <c r="D3311" t="s">
        <v>33</v>
      </c>
      <c r="E3311" t="s">
        <v>34</v>
      </c>
      <c r="F3311" t="str">
        <f>"0003609"</f>
        <v>0003609</v>
      </c>
      <c r="G3311">
        <v>1</v>
      </c>
      <c r="H3311" t="str">
        <f>"00000000"</f>
        <v>00000000</v>
      </c>
      <c r="I3311" t="s">
        <v>35</v>
      </c>
      <c r="J3311"/>
      <c r="K3311">
        <v>2.53</v>
      </c>
      <c r="L3311">
        <v>0.0</v>
      </c>
      <c r="M3311"/>
      <c r="N3311"/>
      <c r="O3311">
        <v>0.46</v>
      </c>
      <c r="P3311">
        <v>0.0</v>
      </c>
      <c r="Q3311">
        <v>2.99</v>
      </c>
      <c r="R3311"/>
      <c r="S3311"/>
      <c r="T3311"/>
      <c r="U3311"/>
      <c r="V3311"/>
      <c r="W3311">
        <v>18</v>
      </c>
    </row>
    <row r="3312" spans="1:23">
      <c r="A3312"/>
      <c r="B3312" t="s">
        <v>83</v>
      </c>
      <c r="C3312" t="s">
        <v>83</v>
      </c>
      <c r="D3312" t="s">
        <v>33</v>
      </c>
      <c r="E3312" t="s">
        <v>34</v>
      </c>
      <c r="F3312" t="str">
        <f>"0003610"</f>
        <v>0003610</v>
      </c>
      <c r="G3312">
        <v>1</v>
      </c>
      <c r="H3312" t="str">
        <f>"00000000"</f>
        <v>00000000</v>
      </c>
      <c r="I3312" t="s">
        <v>35</v>
      </c>
      <c r="J3312"/>
      <c r="K3312">
        <v>11.29</v>
      </c>
      <c r="L3312">
        <v>0.0</v>
      </c>
      <c r="M3312"/>
      <c r="N3312"/>
      <c r="O3312">
        <v>2.03</v>
      </c>
      <c r="P3312">
        <v>0.2</v>
      </c>
      <c r="Q3312">
        <v>13.52</v>
      </c>
      <c r="R3312"/>
      <c r="S3312"/>
      <c r="T3312"/>
      <c r="U3312"/>
      <c r="V3312"/>
      <c r="W3312">
        <v>18</v>
      </c>
    </row>
    <row r="3313" spans="1:23">
      <c r="A3313"/>
      <c r="B3313" t="s">
        <v>83</v>
      </c>
      <c r="C3313" t="s">
        <v>83</v>
      </c>
      <c r="D3313" t="s">
        <v>33</v>
      </c>
      <c r="E3313" t="s">
        <v>34</v>
      </c>
      <c r="F3313" t="str">
        <f>"0003611"</f>
        <v>0003611</v>
      </c>
      <c r="G3313">
        <v>1</v>
      </c>
      <c r="H3313" t="str">
        <f>"00000000"</f>
        <v>00000000</v>
      </c>
      <c r="I3313" t="s">
        <v>35</v>
      </c>
      <c r="J3313"/>
      <c r="K3313">
        <v>5.08</v>
      </c>
      <c r="L3313">
        <v>0.0</v>
      </c>
      <c r="M3313"/>
      <c r="N3313"/>
      <c r="O3313">
        <v>0.92</v>
      </c>
      <c r="P3313">
        <v>0.0</v>
      </c>
      <c r="Q3313">
        <v>6.0</v>
      </c>
      <c r="R3313"/>
      <c r="S3313"/>
      <c r="T3313"/>
      <c r="U3313"/>
      <c r="V3313"/>
      <c r="W3313">
        <v>18</v>
      </c>
    </row>
    <row r="3314" spans="1:23">
      <c r="A3314"/>
      <c r="B3314" t="s">
        <v>83</v>
      </c>
      <c r="C3314" t="s">
        <v>83</v>
      </c>
      <c r="D3314" t="s">
        <v>33</v>
      </c>
      <c r="E3314" t="s">
        <v>34</v>
      </c>
      <c r="F3314" t="str">
        <f>"0003612"</f>
        <v>0003612</v>
      </c>
      <c r="G3314">
        <v>1</v>
      </c>
      <c r="H3314" t="str">
        <f>"00000000"</f>
        <v>00000000</v>
      </c>
      <c r="I3314" t="s">
        <v>35</v>
      </c>
      <c r="J3314"/>
      <c r="K3314">
        <v>14.85</v>
      </c>
      <c r="L3314">
        <v>5.19</v>
      </c>
      <c r="M3314"/>
      <c r="N3314"/>
      <c r="O3314">
        <v>2.67</v>
      </c>
      <c r="P3314">
        <v>0.2</v>
      </c>
      <c r="Q3314">
        <v>22.91</v>
      </c>
      <c r="R3314"/>
      <c r="S3314"/>
      <c r="T3314"/>
      <c r="U3314"/>
      <c r="V3314"/>
      <c r="W3314">
        <v>18</v>
      </c>
    </row>
    <row r="3315" spans="1:23">
      <c r="A3315"/>
      <c r="B3315" t="s">
        <v>83</v>
      </c>
      <c r="C3315" t="s">
        <v>83</v>
      </c>
      <c r="D3315" t="s">
        <v>33</v>
      </c>
      <c r="E3315" t="s">
        <v>34</v>
      </c>
      <c r="F3315" t="str">
        <f>"0003613"</f>
        <v>0003613</v>
      </c>
      <c r="G3315">
        <v>1</v>
      </c>
      <c r="H3315" t="str">
        <f>"00000000"</f>
        <v>00000000</v>
      </c>
      <c r="I3315" t="s">
        <v>35</v>
      </c>
      <c r="J3315"/>
      <c r="K3315">
        <v>18.41</v>
      </c>
      <c r="L3315">
        <v>0.0</v>
      </c>
      <c r="M3315"/>
      <c r="N3315"/>
      <c r="O3315">
        <v>3.31</v>
      </c>
      <c r="P3315">
        <v>0.2</v>
      </c>
      <c r="Q3315">
        <v>21.92</v>
      </c>
      <c r="R3315"/>
      <c r="S3315"/>
      <c r="T3315"/>
      <c r="U3315"/>
      <c r="V3315"/>
      <c r="W3315">
        <v>18</v>
      </c>
    </row>
    <row r="3316" spans="1:23">
      <c r="A3316"/>
      <c r="B3316" t="s">
        <v>83</v>
      </c>
      <c r="C3316" t="s">
        <v>83</v>
      </c>
      <c r="D3316" t="s">
        <v>33</v>
      </c>
      <c r="E3316" t="s">
        <v>34</v>
      </c>
      <c r="F3316" t="str">
        <f>"0003614"</f>
        <v>0003614</v>
      </c>
      <c r="G3316">
        <v>1</v>
      </c>
      <c r="H3316" t="str">
        <f>"00000000"</f>
        <v>00000000</v>
      </c>
      <c r="I3316" t="s">
        <v>35</v>
      </c>
      <c r="J3316"/>
      <c r="K3316">
        <v>0.0</v>
      </c>
      <c r="L3316">
        <v>5.18</v>
      </c>
      <c r="M3316"/>
      <c r="N3316"/>
      <c r="O3316">
        <v>0.0</v>
      </c>
      <c r="P3316">
        <v>0.0</v>
      </c>
      <c r="Q3316">
        <v>5.18</v>
      </c>
      <c r="R3316"/>
      <c r="S3316"/>
      <c r="T3316"/>
      <c r="U3316"/>
      <c r="V3316"/>
      <c r="W3316">
        <v>18</v>
      </c>
    </row>
    <row r="3317" spans="1:23">
      <c r="A3317"/>
      <c r="B3317" t="s">
        <v>83</v>
      </c>
      <c r="C3317" t="s">
        <v>83</v>
      </c>
      <c r="D3317" t="s">
        <v>33</v>
      </c>
      <c r="E3317" t="s">
        <v>34</v>
      </c>
      <c r="F3317" t="str">
        <f>"0003615"</f>
        <v>0003615</v>
      </c>
      <c r="G3317">
        <v>1</v>
      </c>
      <c r="H3317" t="str">
        <f>"00000000"</f>
        <v>00000000</v>
      </c>
      <c r="I3317" t="s">
        <v>35</v>
      </c>
      <c r="J3317"/>
      <c r="K3317">
        <v>20.44</v>
      </c>
      <c r="L3317">
        <v>0.0</v>
      </c>
      <c r="M3317"/>
      <c r="N3317"/>
      <c r="O3317">
        <v>3.68</v>
      </c>
      <c r="P3317">
        <v>0.2</v>
      </c>
      <c r="Q3317">
        <v>24.32</v>
      </c>
      <c r="R3317"/>
      <c r="S3317"/>
      <c r="T3317"/>
      <c r="U3317"/>
      <c r="V3317"/>
      <c r="W3317">
        <v>18</v>
      </c>
    </row>
    <row r="3318" spans="1:23">
      <c r="A3318"/>
      <c r="B3318" t="s">
        <v>83</v>
      </c>
      <c r="C3318" t="s">
        <v>83</v>
      </c>
      <c r="D3318" t="s">
        <v>33</v>
      </c>
      <c r="E3318" t="s">
        <v>34</v>
      </c>
      <c r="F3318" t="str">
        <f>"0003616"</f>
        <v>0003616</v>
      </c>
      <c r="G3318">
        <v>1</v>
      </c>
      <c r="H3318" t="str">
        <f>"00000000"</f>
        <v>00000000</v>
      </c>
      <c r="I3318" t="s">
        <v>35</v>
      </c>
      <c r="J3318"/>
      <c r="K3318">
        <v>43.71</v>
      </c>
      <c r="L3318">
        <v>2.82</v>
      </c>
      <c r="M3318"/>
      <c r="N3318"/>
      <c r="O3318">
        <v>7.87</v>
      </c>
      <c r="P3318">
        <v>0.2</v>
      </c>
      <c r="Q3318">
        <v>54.61</v>
      </c>
      <c r="R3318"/>
      <c r="S3318"/>
      <c r="T3318"/>
      <c r="U3318"/>
      <c r="V3318"/>
      <c r="W3318">
        <v>18</v>
      </c>
    </row>
    <row r="3319" spans="1:23">
      <c r="A3319"/>
      <c r="B3319" t="s">
        <v>83</v>
      </c>
      <c r="C3319" t="s">
        <v>83</v>
      </c>
      <c r="D3319" t="s">
        <v>33</v>
      </c>
      <c r="E3319" t="s">
        <v>34</v>
      </c>
      <c r="F3319" t="str">
        <f>"0003617"</f>
        <v>0003617</v>
      </c>
      <c r="G3319">
        <v>1</v>
      </c>
      <c r="H3319" t="str">
        <f>"00000000"</f>
        <v>00000000</v>
      </c>
      <c r="I3319" t="s">
        <v>35</v>
      </c>
      <c r="J3319"/>
      <c r="K3319">
        <v>42.29</v>
      </c>
      <c r="L3319">
        <v>0.0</v>
      </c>
      <c r="M3319"/>
      <c r="N3319"/>
      <c r="O3319">
        <v>7.61</v>
      </c>
      <c r="P3319">
        <v>0.0</v>
      </c>
      <c r="Q3319">
        <v>49.9</v>
      </c>
      <c r="R3319"/>
      <c r="S3319"/>
      <c r="T3319"/>
      <c r="U3319"/>
      <c r="V3319"/>
      <c r="W3319">
        <v>18</v>
      </c>
    </row>
    <row r="3320" spans="1:23">
      <c r="A3320"/>
      <c r="B3320" t="s">
        <v>83</v>
      </c>
      <c r="C3320" t="s">
        <v>83</v>
      </c>
      <c r="D3320" t="s">
        <v>33</v>
      </c>
      <c r="E3320" t="s">
        <v>34</v>
      </c>
      <c r="F3320" t="str">
        <f>"0003618"</f>
        <v>0003618</v>
      </c>
      <c r="G3320">
        <v>1</v>
      </c>
      <c r="H3320" t="str">
        <f>"00000000"</f>
        <v>00000000</v>
      </c>
      <c r="I3320" t="s">
        <v>35</v>
      </c>
      <c r="J3320"/>
      <c r="K3320">
        <v>4.24</v>
      </c>
      <c r="L3320">
        <v>0.0</v>
      </c>
      <c r="M3320"/>
      <c r="N3320"/>
      <c r="O3320">
        <v>0.76</v>
      </c>
      <c r="P3320">
        <v>0.0</v>
      </c>
      <c r="Q3320">
        <v>5.0</v>
      </c>
      <c r="R3320"/>
      <c r="S3320"/>
      <c r="T3320"/>
      <c r="U3320"/>
      <c r="V3320"/>
      <c r="W3320">
        <v>18</v>
      </c>
    </row>
    <row r="3321" spans="1:23">
      <c r="A3321"/>
      <c r="B3321" t="s">
        <v>83</v>
      </c>
      <c r="C3321" t="s">
        <v>83</v>
      </c>
      <c r="D3321" t="s">
        <v>33</v>
      </c>
      <c r="E3321" t="s">
        <v>34</v>
      </c>
      <c r="F3321" t="str">
        <f>"0003619"</f>
        <v>0003619</v>
      </c>
      <c r="G3321">
        <v>1</v>
      </c>
      <c r="H3321" t="str">
        <f>"00000000"</f>
        <v>00000000</v>
      </c>
      <c r="I3321" t="s">
        <v>35</v>
      </c>
      <c r="J3321"/>
      <c r="K3321">
        <v>6.1</v>
      </c>
      <c r="L3321">
        <v>0.0</v>
      </c>
      <c r="M3321"/>
      <c r="N3321"/>
      <c r="O3321">
        <v>1.1</v>
      </c>
      <c r="P3321">
        <v>0.0</v>
      </c>
      <c r="Q3321">
        <v>7.2</v>
      </c>
      <c r="R3321"/>
      <c r="S3321"/>
      <c r="T3321"/>
      <c r="U3321"/>
      <c r="V3321"/>
      <c r="W3321">
        <v>18</v>
      </c>
    </row>
    <row r="3322" spans="1:23">
      <c r="A3322"/>
      <c r="B3322" t="s">
        <v>83</v>
      </c>
      <c r="C3322" t="s">
        <v>83</v>
      </c>
      <c r="D3322" t="s">
        <v>33</v>
      </c>
      <c r="E3322" t="s">
        <v>34</v>
      </c>
      <c r="F3322" t="str">
        <f>"0003620"</f>
        <v>0003620</v>
      </c>
      <c r="G3322">
        <v>1</v>
      </c>
      <c r="H3322" t="str">
        <f>"00000000"</f>
        <v>00000000</v>
      </c>
      <c r="I3322" t="s">
        <v>35</v>
      </c>
      <c r="J3322"/>
      <c r="K3322">
        <v>8.06</v>
      </c>
      <c r="L3322">
        <v>0.0</v>
      </c>
      <c r="M3322"/>
      <c r="N3322"/>
      <c r="O3322">
        <v>1.45</v>
      </c>
      <c r="P3322">
        <v>0.2</v>
      </c>
      <c r="Q3322">
        <v>9.71</v>
      </c>
      <c r="R3322"/>
      <c r="S3322"/>
      <c r="T3322"/>
      <c r="U3322"/>
      <c r="V3322"/>
      <c r="W3322">
        <v>18</v>
      </c>
    </row>
    <row r="3323" spans="1:23">
      <c r="A3323"/>
      <c r="B3323" t="s">
        <v>83</v>
      </c>
      <c r="C3323" t="s">
        <v>83</v>
      </c>
      <c r="D3323" t="s">
        <v>33</v>
      </c>
      <c r="E3323" t="s">
        <v>34</v>
      </c>
      <c r="F3323" t="str">
        <f>"0003621"</f>
        <v>0003621</v>
      </c>
      <c r="G3323">
        <v>1</v>
      </c>
      <c r="H3323" t="str">
        <f>"00000000"</f>
        <v>00000000</v>
      </c>
      <c r="I3323" t="s">
        <v>35</v>
      </c>
      <c r="J3323"/>
      <c r="K3323">
        <v>81.56</v>
      </c>
      <c r="L3323">
        <v>1.29</v>
      </c>
      <c r="M3323"/>
      <c r="N3323"/>
      <c r="O3323">
        <v>14.68</v>
      </c>
      <c r="P3323">
        <v>0.4</v>
      </c>
      <c r="Q3323">
        <v>97.93</v>
      </c>
      <c r="R3323"/>
      <c r="S3323"/>
      <c r="T3323"/>
      <c r="U3323"/>
      <c r="V3323"/>
      <c r="W3323">
        <v>18</v>
      </c>
    </row>
    <row r="3324" spans="1:23">
      <c r="A3324"/>
      <c r="B3324" t="s">
        <v>83</v>
      </c>
      <c r="C3324" t="s">
        <v>83</v>
      </c>
      <c r="D3324" t="s">
        <v>36</v>
      </c>
      <c r="E3324" t="s">
        <v>37</v>
      </c>
      <c r="F3324" t="str">
        <f>"0000047"</f>
        <v>0000047</v>
      </c>
      <c r="G3324">
        <v>6</v>
      </c>
      <c r="H3324" t="str">
        <f>"20488045785"</f>
        <v>20488045785</v>
      </c>
      <c r="I3324" t="s">
        <v>54</v>
      </c>
      <c r="J3324"/>
      <c r="K3324">
        <v>0.02</v>
      </c>
      <c r="L3324">
        <v>73.28</v>
      </c>
      <c r="M3324"/>
      <c r="N3324"/>
      <c r="O3324">
        <v>0.0</v>
      </c>
      <c r="P3324">
        <v>0.2</v>
      </c>
      <c r="Q3324">
        <v>73.5</v>
      </c>
      <c r="R3324"/>
      <c r="S3324"/>
      <c r="T3324"/>
      <c r="U3324"/>
      <c r="V3324"/>
      <c r="W3324">
        <v>18</v>
      </c>
    </row>
    <row r="3325" spans="1:23">
      <c r="A3325"/>
      <c r="B3325" t="s">
        <v>83</v>
      </c>
      <c r="C3325" t="s">
        <v>83</v>
      </c>
      <c r="D3325" t="s">
        <v>33</v>
      </c>
      <c r="E3325" t="s">
        <v>34</v>
      </c>
      <c r="F3325" t="str">
        <f>"0003622"</f>
        <v>0003622</v>
      </c>
      <c r="G3325">
        <v>1</v>
      </c>
      <c r="H3325" t="str">
        <f>"00000000"</f>
        <v>00000000</v>
      </c>
      <c r="I3325" t="s">
        <v>35</v>
      </c>
      <c r="J3325"/>
      <c r="K3325">
        <v>56.54</v>
      </c>
      <c r="L3325">
        <v>6.03</v>
      </c>
      <c r="M3325"/>
      <c r="N3325"/>
      <c r="O3325">
        <v>10.18</v>
      </c>
      <c r="P3325">
        <v>0.4</v>
      </c>
      <c r="Q3325">
        <v>73.15</v>
      </c>
      <c r="R3325"/>
      <c r="S3325"/>
      <c r="T3325"/>
      <c r="U3325"/>
      <c r="V3325"/>
      <c r="W3325">
        <v>18</v>
      </c>
    </row>
    <row r="3326" spans="1:23">
      <c r="A3326"/>
      <c r="B3326" t="s">
        <v>83</v>
      </c>
      <c r="C3326" t="s">
        <v>83</v>
      </c>
      <c r="D3326" t="s">
        <v>33</v>
      </c>
      <c r="E3326" t="s">
        <v>34</v>
      </c>
      <c r="F3326" t="str">
        <f>"0003623"</f>
        <v>0003623</v>
      </c>
      <c r="G3326">
        <v>1</v>
      </c>
      <c r="H3326" t="str">
        <f>"00000000"</f>
        <v>00000000</v>
      </c>
      <c r="I3326" t="s">
        <v>35</v>
      </c>
      <c r="J3326"/>
      <c r="K3326">
        <v>13.12</v>
      </c>
      <c r="L3326">
        <v>0.0</v>
      </c>
      <c r="M3326"/>
      <c r="N3326"/>
      <c r="O3326">
        <v>2.36</v>
      </c>
      <c r="P3326">
        <v>0.0</v>
      </c>
      <c r="Q3326">
        <v>15.48</v>
      </c>
      <c r="R3326"/>
      <c r="S3326"/>
      <c r="T3326"/>
      <c r="U3326"/>
      <c r="V3326"/>
      <c r="W3326">
        <v>18</v>
      </c>
    </row>
    <row r="3327" spans="1:23">
      <c r="A3327"/>
      <c r="B3327" t="s">
        <v>83</v>
      </c>
      <c r="C3327" t="s">
        <v>83</v>
      </c>
      <c r="D3327" t="s">
        <v>33</v>
      </c>
      <c r="E3327" t="s">
        <v>34</v>
      </c>
      <c r="F3327" t="str">
        <f>"0003624"</f>
        <v>0003624</v>
      </c>
      <c r="G3327">
        <v>1</v>
      </c>
      <c r="H3327" t="str">
        <f>"00000000"</f>
        <v>00000000</v>
      </c>
      <c r="I3327" t="s">
        <v>35</v>
      </c>
      <c r="J3327"/>
      <c r="K3327">
        <v>9.24</v>
      </c>
      <c r="L3327">
        <v>0.0</v>
      </c>
      <c r="M3327"/>
      <c r="N3327"/>
      <c r="O3327">
        <v>1.66</v>
      </c>
      <c r="P3327">
        <v>0.0</v>
      </c>
      <c r="Q3327">
        <v>10.9</v>
      </c>
      <c r="R3327"/>
      <c r="S3327"/>
      <c r="T3327"/>
      <c r="U3327"/>
      <c r="V3327"/>
      <c r="W3327">
        <v>18</v>
      </c>
    </row>
    <row r="3328" spans="1:23">
      <c r="A3328"/>
      <c r="B3328" t="s">
        <v>83</v>
      </c>
      <c r="C3328" t="s">
        <v>83</v>
      </c>
      <c r="D3328" t="s">
        <v>33</v>
      </c>
      <c r="E3328" t="s">
        <v>34</v>
      </c>
      <c r="F3328" t="str">
        <f>"0003625"</f>
        <v>0003625</v>
      </c>
      <c r="G3328">
        <v>1</v>
      </c>
      <c r="H3328" t="str">
        <f>"00000000"</f>
        <v>00000000</v>
      </c>
      <c r="I3328" t="s">
        <v>35</v>
      </c>
      <c r="J3328"/>
      <c r="K3328">
        <v>28.15</v>
      </c>
      <c r="L3328">
        <v>28.06</v>
      </c>
      <c r="M3328"/>
      <c r="N3328"/>
      <c r="O3328">
        <v>5.07</v>
      </c>
      <c r="P3328">
        <v>0.2</v>
      </c>
      <c r="Q3328">
        <v>61.48</v>
      </c>
      <c r="R3328"/>
      <c r="S3328"/>
      <c r="T3328"/>
      <c r="U3328"/>
      <c r="V3328"/>
      <c r="W3328">
        <v>18</v>
      </c>
    </row>
    <row r="3329" spans="1:23">
      <c r="A3329"/>
      <c r="B3329" t="s">
        <v>83</v>
      </c>
      <c r="C3329" t="s">
        <v>83</v>
      </c>
      <c r="D3329" t="s">
        <v>33</v>
      </c>
      <c r="E3329" t="s">
        <v>34</v>
      </c>
      <c r="F3329" t="str">
        <f>"0003626"</f>
        <v>0003626</v>
      </c>
      <c r="G3329">
        <v>1</v>
      </c>
      <c r="H3329" t="str">
        <f>"00000000"</f>
        <v>00000000</v>
      </c>
      <c r="I3329" t="s">
        <v>35</v>
      </c>
      <c r="J3329"/>
      <c r="K3329">
        <v>27.88</v>
      </c>
      <c r="L3329">
        <v>4.92</v>
      </c>
      <c r="M3329"/>
      <c r="N3329"/>
      <c r="O3329">
        <v>5.02</v>
      </c>
      <c r="P3329">
        <v>0.0</v>
      </c>
      <c r="Q3329">
        <v>37.82</v>
      </c>
      <c r="R3329"/>
      <c r="S3329"/>
      <c r="T3329"/>
      <c r="U3329"/>
      <c r="V3329"/>
      <c r="W3329">
        <v>18</v>
      </c>
    </row>
    <row r="3330" spans="1:23">
      <c r="A3330"/>
      <c r="B3330" t="s">
        <v>83</v>
      </c>
      <c r="C3330" t="s">
        <v>83</v>
      </c>
      <c r="D3330" t="s">
        <v>33</v>
      </c>
      <c r="E3330" t="s">
        <v>34</v>
      </c>
      <c r="F3330" t="str">
        <f>"0003627"</f>
        <v>0003627</v>
      </c>
      <c r="G3330">
        <v>1</v>
      </c>
      <c r="H3330" t="str">
        <f>"00000000"</f>
        <v>00000000</v>
      </c>
      <c r="I3330" t="s">
        <v>35</v>
      </c>
      <c r="J3330"/>
      <c r="K3330">
        <v>0.02</v>
      </c>
      <c r="L3330">
        <v>0.0</v>
      </c>
      <c r="M3330"/>
      <c r="N3330"/>
      <c r="O3330">
        <v>0.0</v>
      </c>
      <c r="P3330">
        <v>0.2</v>
      </c>
      <c r="Q3330">
        <v>0.22</v>
      </c>
      <c r="R3330"/>
      <c r="S3330"/>
      <c r="T3330"/>
      <c r="U3330"/>
      <c r="V3330"/>
      <c r="W3330">
        <v>18</v>
      </c>
    </row>
    <row r="3331" spans="1:23">
      <c r="A3331"/>
      <c r="B3331" t="s">
        <v>83</v>
      </c>
      <c r="C3331" t="s">
        <v>83</v>
      </c>
      <c r="D3331" t="s">
        <v>33</v>
      </c>
      <c r="E3331" t="s">
        <v>34</v>
      </c>
      <c r="F3331" t="str">
        <f>"0003628"</f>
        <v>0003628</v>
      </c>
      <c r="G3331">
        <v>1</v>
      </c>
      <c r="H3331" t="str">
        <f>"00000000"</f>
        <v>00000000</v>
      </c>
      <c r="I3331" t="s">
        <v>35</v>
      </c>
      <c r="J3331"/>
      <c r="K3331">
        <v>6.53</v>
      </c>
      <c r="L3331">
        <v>0.0</v>
      </c>
      <c r="M3331"/>
      <c r="N3331"/>
      <c r="O3331">
        <v>1.17</v>
      </c>
      <c r="P3331">
        <v>0.0</v>
      </c>
      <c r="Q3331">
        <v>7.7</v>
      </c>
      <c r="R3331"/>
      <c r="S3331"/>
      <c r="T3331"/>
      <c r="U3331"/>
      <c r="V3331"/>
      <c r="W3331">
        <v>18</v>
      </c>
    </row>
    <row r="3332" spans="1:23">
      <c r="A3332"/>
      <c r="B3332" t="s">
        <v>83</v>
      </c>
      <c r="C3332" t="s">
        <v>83</v>
      </c>
      <c r="D3332" t="s">
        <v>33</v>
      </c>
      <c r="E3332" t="s">
        <v>34</v>
      </c>
      <c r="F3332" t="str">
        <f>"0003629"</f>
        <v>0003629</v>
      </c>
      <c r="G3332">
        <v>1</v>
      </c>
      <c r="H3332" t="str">
        <f>"00000000"</f>
        <v>00000000</v>
      </c>
      <c r="I3332" t="s">
        <v>35</v>
      </c>
      <c r="J3332"/>
      <c r="K3332">
        <v>1.27</v>
      </c>
      <c r="L3332">
        <v>0.0</v>
      </c>
      <c r="M3332"/>
      <c r="N3332"/>
      <c r="O3332">
        <v>0.23</v>
      </c>
      <c r="P3332">
        <v>0.0</v>
      </c>
      <c r="Q3332">
        <v>1.5</v>
      </c>
      <c r="R3332"/>
      <c r="S3332"/>
      <c r="T3332"/>
      <c r="U3332"/>
      <c r="V3332"/>
      <c r="W3332">
        <v>18</v>
      </c>
    </row>
    <row r="3333" spans="1:23">
      <c r="A3333"/>
      <c r="B3333" t="s">
        <v>83</v>
      </c>
      <c r="C3333" t="s">
        <v>83</v>
      </c>
      <c r="D3333" t="s">
        <v>33</v>
      </c>
      <c r="E3333" t="s">
        <v>34</v>
      </c>
      <c r="F3333" t="str">
        <f>"0003630"</f>
        <v>0003630</v>
      </c>
      <c r="G3333">
        <v>1</v>
      </c>
      <c r="H3333" t="str">
        <f>"00000000"</f>
        <v>00000000</v>
      </c>
      <c r="I3333" t="s">
        <v>35</v>
      </c>
      <c r="J3333"/>
      <c r="K3333">
        <v>11.86</v>
      </c>
      <c r="L3333">
        <v>0.0</v>
      </c>
      <c r="M3333"/>
      <c r="N3333"/>
      <c r="O3333">
        <v>2.14</v>
      </c>
      <c r="P3333">
        <v>0.0</v>
      </c>
      <c r="Q3333">
        <v>14.0</v>
      </c>
      <c r="R3333"/>
      <c r="S3333"/>
      <c r="T3333"/>
      <c r="U3333"/>
      <c r="V3333"/>
      <c r="W3333">
        <v>18</v>
      </c>
    </row>
    <row r="3334" spans="1:23">
      <c r="A3334"/>
      <c r="B3334" t="s">
        <v>83</v>
      </c>
      <c r="C3334" t="s">
        <v>83</v>
      </c>
      <c r="D3334" t="s">
        <v>33</v>
      </c>
      <c r="E3334" t="s">
        <v>34</v>
      </c>
      <c r="F3334" t="str">
        <f>"0003631"</f>
        <v>0003631</v>
      </c>
      <c r="G3334">
        <v>1</v>
      </c>
      <c r="H3334" t="str">
        <f>"00000000"</f>
        <v>00000000</v>
      </c>
      <c r="I3334" t="s">
        <v>35</v>
      </c>
      <c r="J3334"/>
      <c r="K3334">
        <v>12.63</v>
      </c>
      <c r="L3334">
        <v>0.0</v>
      </c>
      <c r="M3334"/>
      <c r="N3334"/>
      <c r="O3334">
        <v>2.27</v>
      </c>
      <c r="P3334">
        <v>0.0</v>
      </c>
      <c r="Q3334">
        <v>14.9</v>
      </c>
      <c r="R3334"/>
      <c r="S3334"/>
      <c r="T3334"/>
      <c r="U3334"/>
      <c r="V3334"/>
      <c r="W3334">
        <v>18</v>
      </c>
    </row>
    <row r="3335" spans="1:23">
      <c r="A3335"/>
      <c r="B3335" t="s">
        <v>83</v>
      </c>
      <c r="C3335" t="s">
        <v>83</v>
      </c>
      <c r="D3335" t="s">
        <v>33</v>
      </c>
      <c r="E3335" t="s">
        <v>34</v>
      </c>
      <c r="F3335" t="str">
        <f>"0003632"</f>
        <v>0003632</v>
      </c>
      <c r="G3335">
        <v>1</v>
      </c>
      <c r="H3335" t="str">
        <f>"00000000"</f>
        <v>00000000</v>
      </c>
      <c r="I3335" t="s">
        <v>35</v>
      </c>
      <c r="J3335"/>
      <c r="K3335">
        <v>29.57</v>
      </c>
      <c r="L3335">
        <v>0.0</v>
      </c>
      <c r="M3335"/>
      <c r="N3335"/>
      <c r="O3335">
        <v>5.32</v>
      </c>
      <c r="P3335">
        <v>0.0</v>
      </c>
      <c r="Q3335">
        <v>34.89</v>
      </c>
      <c r="R3335"/>
      <c r="S3335"/>
      <c r="T3335"/>
      <c r="U3335"/>
      <c r="V3335"/>
      <c r="W3335">
        <v>18</v>
      </c>
    </row>
    <row r="3336" spans="1:23">
      <c r="A3336"/>
      <c r="B3336" t="s">
        <v>83</v>
      </c>
      <c r="C3336" t="s">
        <v>83</v>
      </c>
      <c r="D3336" t="s">
        <v>33</v>
      </c>
      <c r="E3336" t="s">
        <v>34</v>
      </c>
      <c r="F3336" t="str">
        <f>"0003633"</f>
        <v>0003633</v>
      </c>
      <c r="G3336">
        <v>1</v>
      </c>
      <c r="H3336" t="str">
        <f>"00000000"</f>
        <v>00000000</v>
      </c>
      <c r="I3336" t="s">
        <v>35</v>
      </c>
      <c r="J3336"/>
      <c r="K3336">
        <v>3.64</v>
      </c>
      <c r="L3336">
        <v>0.0</v>
      </c>
      <c r="M3336"/>
      <c r="N3336"/>
      <c r="O3336">
        <v>0.66</v>
      </c>
      <c r="P3336">
        <v>0.0</v>
      </c>
      <c r="Q3336">
        <v>4.3</v>
      </c>
      <c r="R3336"/>
      <c r="S3336"/>
      <c r="T3336"/>
      <c r="U3336"/>
      <c r="V3336"/>
      <c r="W3336">
        <v>18</v>
      </c>
    </row>
    <row r="3337" spans="1:23">
      <c r="A3337"/>
      <c r="B3337" t="s">
        <v>83</v>
      </c>
      <c r="C3337" t="s">
        <v>83</v>
      </c>
      <c r="D3337" t="s">
        <v>33</v>
      </c>
      <c r="E3337" t="s">
        <v>34</v>
      </c>
      <c r="F3337" t="str">
        <f>"0003634"</f>
        <v>0003634</v>
      </c>
      <c r="G3337">
        <v>1</v>
      </c>
      <c r="H3337" t="str">
        <f>"00000000"</f>
        <v>00000000</v>
      </c>
      <c r="I3337" t="s">
        <v>35</v>
      </c>
      <c r="J3337"/>
      <c r="K3337">
        <v>5.69</v>
      </c>
      <c r="L3337">
        <v>2.25</v>
      </c>
      <c r="M3337"/>
      <c r="N3337"/>
      <c r="O3337">
        <v>1.03</v>
      </c>
      <c r="P3337">
        <v>0.2</v>
      </c>
      <c r="Q3337">
        <v>9.17</v>
      </c>
      <c r="R3337"/>
      <c r="S3337"/>
      <c r="T3337"/>
      <c r="U3337"/>
      <c r="V3337"/>
      <c r="W3337">
        <v>18</v>
      </c>
    </row>
    <row r="3338" spans="1:23">
      <c r="A3338"/>
      <c r="B3338" t="s">
        <v>83</v>
      </c>
      <c r="C3338" t="s">
        <v>83</v>
      </c>
      <c r="D3338" t="s">
        <v>33</v>
      </c>
      <c r="E3338" t="s">
        <v>34</v>
      </c>
      <c r="F3338" t="str">
        <f>"0003635"</f>
        <v>0003635</v>
      </c>
      <c r="G3338">
        <v>1</v>
      </c>
      <c r="H3338" t="str">
        <f>"00000000"</f>
        <v>00000000</v>
      </c>
      <c r="I3338" t="s">
        <v>35</v>
      </c>
      <c r="J3338"/>
      <c r="K3338">
        <v>19.91</v>
      </c>
      <c r="L3338">
        <v>7.01</v>
      </c>
      <c r="M3338"/>
      <c r="N3338"/>
      <c r="O3338">
        <v>3.58</v>
      </c>
      <c r="P3338">
        <v>0.2</v>
      </c>
      <c r="Q3338">
        <v>30.7</v>
      </c>
      <c r="R3338"/>
      <c r="S3338"/>
      <c r="T3338"/>
      <c r="U3338"/>
      <c r="V3338"/>
      <c r="W3338">
        <v>18</v>
      </c>
    </row>
    <row r="3339" spans="1:23">
      <c r="A3339"/>
      <c r="B3339" t="s">
        <v>83</v>
      </c>
      <c r="C3339" t="s">
        <v>83</v>
      </c>
      <c r="D3339" t="s">
        <v>33</v>
      </c>
      <c r="E3339" t="s">
        <v>34</v>
      </c>
      <c r="F3339" t="str">
        <f>"0003636"</f>
        <v>0003636</v>
      </c>
      <c r="G3339">
        <v>1</v>
      </c>
      <c r="H3339" t="str">
        <f>"00000000"</f>
        <v>00000000</v>
      </c>
      <c r="I3339" t="s">
        <v>35</v>
      </c>
      <c r="J3339"/>
      <c r="K3339">
        <v>46.44</v>
      </c>
      <c r="L3339">
        <v>22.89</v>
      </c>
      <c r="M3339"/>
      <c r="N3339"/>
      <c r="O3339">
        <v>8.36</v>
      </c>
      <c r="P3339">
        <v>0.4</v>
      </c>
      <c r="Q3339">
        <v>78.08</v>
      </c>
      <c r="R3339"/>
      <c r="S3339"/>
      <c r="T3339"/>
      <c r="U3339"/>
      <c r="V3339"/>
      <c r="W3339">
        <v>18</v>
      </c>
    </row>
    <row r="3340" spans="1:23">
      <c r="A3340"/>
      <c r="B3340" t="s">
        <v>83</v>
      </c>
      <c r="C3340" t="s">
        <v>83</v>
      </c>
      <c r="D3340" t="s">
        <v>33</v>
      </c>
      <c r="E3340" t="s">
        <v>34</v>
      </c>
      <c r="F3340" t="str">
        <f>"0003637"</f>
        <v>0003637</v>
      </c>
      <c r="G3340">
        <v>1</v>
      </c>
      <c r="H3340" t="str">
        <f>"00000000"</f>
        <v>00000000</v>
      </c>
      <c r="I3340" t="s">
        <v>35</v>
      </c>
      <c r="J3340"/>
      <c r="K3340">
        <v>52.19</v>
      </c>
      <c r="L3340">
        <v>0.0</v>
      </c>
      <c r="M3340"/>
      <c r="N3340"/>
      <c r="O3340">
        <v>9.39</v>
      </c>
      <c r="P3340">
        <v>0.0</v>
      </c>
      <c r="Q3340">
        <v>61.58</v>
      </c>
      <c r="R3340"/>
      <c r="S3340"/>
      <c r="T3340"/>
      <c r="U3340"/>
      <c r="V3340"/>
      <c r="W3340">
        <v>18</v>
      </c>
    </row>
    <row r="3341" spans="1:23">
      <c r="A3341"/>
      <c r="B3341" t="s">
        <v>83</v>
      </c>
      <c r="C3341" t="s">
        <v>83</v>
      </c>
      <c r="D3341" t="s">
        <v>33</v>
      </c>
      <c r="E3341" t="s">
        <v>34</v>
      </c>
      <c r="F3341" t="str">
        <f>"0003638"</f>
        <v>0003638</v>
      </c>
      <c r="G3341">
        <v>1</v>
      </c>
      <c r="H3341" t="str">
        <f>"00000000"</f>
        <v>00000000</v>
      </c>
      <c r="I3341" t="s">
        <v>35</v>
      </c>
      <c r="J3341"/>
      <c r="K3341">
        <v>33.1</v>
      </c>
      <c r="L3341">
        <v>0.0</v>
      </c>
      <c r="M3341"/>
      <c r="N3341"/>
      <c r="O3341">
        <v>5.96</v>
      </c>
      <c r="P3341">
        <v>0.2</v>
      </c>
      <c r="Q3341">
        <v>39.26</v>
      </c>
      <c r="R3341"/>
      <c r="S3341"/>
      <c r="T3341"/>
      <c r="U3341"/>
      <c r="V3341"/>
      <c r="W3341">
        <v>18</v>
      </c>
    </row>
    <row r="3342" spans="1:23">
      <c r="A3342"/>
      <c r="B3342" t="s">
        <v>83</v>
      </c>
      <c r="C3342" t="s">
        <v>83</v>
      </c>
      <c r="D3342" t="s">
        <v>33</v>
      </c>
      <c r="E3342" t="s">
        <v>34</v>
      </c>
      <c r="F3342" t="str">
        <f>"0003639"</f>
        <v>0003639</v>
      </c>
      <c r="G3342">
        <v>1</v>
      </c>
      <c r="H3342" t="str">
        <f>"00000000"</f>
        <v>00000000</v>
      </c>
      <c r="I3342" t="s">
        <v>35</v>
      </c>
      <c r="J3342"/>
      <c r="K3342">
        <v>1.27</v>
      </c>
      <c r="L3342">
        <v>0.0</v>
      </c>
      <c r="M3342"/>
      <c r="N3342"/>
      <c r="O3342">
        <v>0.23</v>
      </c>
      <c r="P3342">
        <v>0.0</v>
      </c>
      <c r="Q3342">
        <v>1.5</v>
      </c>
      <c r="R3342"/>
      <c r="S3342"/>
      <c r="T3342"/>
      <c r="U3342"/>
      <c r="V3342"/>
      <c r="W3342">
        <v>18</v>
      </c>
    </row>
    <row r="3343" spans="1:23">
      <c r="A3343"/>
      <c r="B3343" t="s">
        <v>83</v>
      </c>
      <c r="C3343" t="s">
        <v>83</v>
      </c>
      <c r="D3343" t="s">
        <v>33</v>
      </c>
      <c r="E3343" t="s">
        <v>34</v>
      </c>
      <c r="F3343" t="str">
        <f>"0003640"</f>
        <v>0003640</v>
      </c>
      <c r="G3343">
        <v>1</v>
      </c>
      <c r="H3343" t="str">
        <f>"00000000"</f>
        <v>00000000</v>
      </c>
      <c r="I3343" t="s">
        <v>35</v>
      </c>
      <c r="J3343"/>
      <c r="K3343">
        <v>1.69</v>
      </c>
      <c r="L3343">
        <v>0.0</v>
      </c>
      <c r="M3343"/>
      <c r="N3343"/>
      <c r="O3343">
        <v>0.31</v>
      </c>
      <c r="P3343">
        <v>0.0</v>
      </c>
      <c r="Q3343">
        <v>2.0</v>
      </c>
      <c r="R3343"/>
      <c r="S3343"/>
      <c r="T3343"/>
      <c r="U3343"/>
      <c r="V3343"/>
      <c r="W3343">
        <v>18</v>
      </c>
    </row>
    <row r="3344" spans="1:23">
      <c r="A3344"/>
      <c r="B3344" t="s">
        <v>83</v>
      </c>
      <c r="C3344" t="s">
        <v>83</v>
      </c>
      <c r="D3344" t="s">
        <v>33</v>
      </c>
      <c r="E3344" t="s">
        <v>34</v>
      </c>
      <c r="F3344" t="str">
        <f>"0003641"</f>
        <v>0003641</v>
      </c>
      <c r="G3344">
        <v>1</v>
      </c>
      <c r="H3344" t="str">
        <f>"00000000"</f>
        <v>00000000</v>
      </c>
      <c r="I3344" t="s">
        <v>35</v>
      </c>
      <c r="J3344"/>
      <c r="K3344">
        <v>10.78</v>
      </c>
      <c r="L3344">
        <v>0.0</v>
      </c>
      <c r="M3344"/>
      <c r="N3344"/>
      <c r="O3344">
        <v>1.94</v>
      </c>
      <c r="P3344">
        <v>0.2</v>
      </c>
      <c r="Q3344">
        <v>12.92</v>
      </c>
      <c r="R3344"/>
      <c r="S3344"/>
      <c r="T3344"/>
      <c r="U3344"/>
      <c r="V3344"/>
      <c r="W3344">
        <v>18</v>
      </c>
    </row>
    <row r="3345" spans="1:23">
      <c r="A3345"/>
      <c r="B3345" t="s">
        <v>83</v>
      </c>
      <c r="C3345" t="s">
        <v>83</v>
      </c>
      <c r="D3345" t="s">
        <v>33</v>
      </c>
      <c r="E3345" t="s">
        <v>34</v>
      </c>
      <c r="F3345" t="str">
        <f>"0003642"</f>
        <v>0003642</v>
      </c>
      <c r="G3345">
        <v>1</v>
      </c>
      <c r="H3345" t="str">
        <f>"00000000"</f>
        <v>00000000</v>
      </c>
      <c r="I3345" t="s">
        <v>35</v>
      </c>
      <c r="J3345"/>
      <c r="K3345">
        <v>2.53</v>
      </c>
      <c r="L3345">
        <v>28.9</v>
      </c>
      <c r="M3345"/>
      <c r="N3345"/>
      <c r="O3345">
        <v>0.46</v>
      </c>
      <c r="P3345">
        <v>0.0</v>
      </c>
      <c r="Q3345">
        <v>31.89</v>
      </c>
      <c r="R3345"/>
      <c r="S3345"/>
      <c r="T3345"/>
      <c r="U3345"/>
      <c r="V3345"/>
      <c r="W3345">
        <v>18</v>
      </c>
    </row>
    <row r="3346" spans="1:23">
      <c r="A3346"/>
      <c r="B3346" t="s">
        <v>83</v>
      </c>
      <c r="C3346" t="s">
        <v>83</v>
      </c>
      <c r="D3346" t="s">
        <v>33</v>
      </c>
      <c r="E3346" t="s">
        <v>34</v>
      </c>
      <c r="F3346" t="str">
        <f>"0003643"</f>
        <v>0003643</v>
      </c>
      <c r="G3346">
        <v>1</v>
      </c>
      <c r="H3346" t="str">
        <f>"00000000"</f>
        <v>00000000</v>
      </c>
      <c r="I3346" t="s">
        <v>35</v>
      </c>
      <c r="J3346"/>
      <c r="K3346">
        <v>1.53</v>
      </c>
      <c r="L3346">
        <v>0.0</v>
      </c>
      <c r="M3346"/>
      <c r="N3346"/>
      <c r="O3346">
        <v>0.27</v>
      </c>
      <c r="P3346">
        <v>0.0</v>
      </c>
      <c r="Q3346">
        <v>1.8</v>
      </c>
      <c r="R3346"/>
      <c r="S3346"/>
      <c r="T3346"/>
      <c r="U3346"/>
      <c r="V3346"/>
      <c r="W3346">
        <v>18</v>
      </c>
    </row>
    <row r="3347" spans="1:23">
      <c r="A3347"/>
      <c r="B3347" t="s">
        <v>83</v>
      </c>
      <c r="C3347" t="s">
        <v>83</v>
      </c>
      <c r="D3347" t="s">
        <v>33</v>
      </c>
      <c r="E3347" t="s">
        <v>34</v>
      </c>
      <c r="F3347" t="str">
        <f>"0003644"</f>
        <v>0003644</v>
      </c>
      <c r="G3347">
        <v>1</v>
      </c>
      <c r="H3347" t="str">
        <f>"00000000"</f>
        <v>00000000</v>
      </c>
      <c r="I3347" t="s">
        <v>35</v>
      </c>
      <c r="J3347"/>
      <c r="K3347">
        <v>12.29</v>
      </c>
      <c r="L3347">
        <v>0.0</v>
      </c>
      <c r="M3347"/>
      <c r="N3347"/>
      <c r="O3347">
        <v>2.21</v>
      </c>
      <c r="P3347">
        <v>0.0</v>
      </c>
      <c r="Q3347">
        <v>14.5</v>
      </c>
      <c r="R3347"/>
      <c r="S3347"/>
      <c r="T3347"/>
      <c r="U3347"/>
      <c r="V3347"/>
      <c r="W3347">
        <v>18</v>
      </c>
    </row>
    <row r="3348" spans="1:23">
      <c r="A3348"/>
      <c r="B3348" t="s">
        <v>83</v>
      </c>
      <c r="C3348" t="s">
        <v>83</v>
      </c>
      <c r="D3348" t="s">
        <v>33</v>
      </c>
      <c r="E3348" t="s">
        <v>34</v>
      </c>
      <c r="F3348" t="str">
        <f>"0003645"</f>
        <v>0003645</v>
      </c>
      <c r="G3348">
        <v>1</v>
      </c>
      <c r="H3348" t="str">
        <f>"00000000"</f>
        <v>00000000</v>
      </c>
      <c r="I3348" t="s">
        <v>35</v>
      </c>
      <c r="J3348"/>
      <c r="K3348">
        <v>49.42</v>
      </c>
      <c r="L3348">
        <v>6.3</v>
      </c>
      <c r="M3348"/>
      <c r="N3348"/>
      <c r="O3348">
        <v>8.9</v>
      </c>
      <c r="P3348">
        <v>0.2</v>
      </c>
      <c r="Q3348">
        <v>64.82</v>
      </c>
      <c r="R3348"/>
      <c r="S3348"/>
      <c r="T3348"/>
      <c r="U3348"/>
      <c r="V3348"/>
      <c r="W3348">
        <v>18</v>
      </c>
    </row>
    <row r="3349" spans="1:23">
      <c r="A3349"/>
      <c r="B3349" t="s">
        <v>83</v>
      </c>
      <c r="C3349" t="s">
        <v>83</v>
      </c>
      <c r="D3349" t="s">
        <v>33</v>
      </c>
      <c r="E3349" t="s">
        <v>34</v>
      </c>
      <c r="F3349" t="str">
        <f>"0003646"</f>
        <v>0003646</v>
      </c>
      <c r="G3349">
        <v>1</v>
      </c>
      <c r="H3349" t="str">
        <f>"00000000"</f>
        <v>00000000</v>
      </c>
      <c r="I3349" t="s">
        <v>35</v>
      </c>
      <c r="J3349"/>
      <c r="K3349">
        <v>3.14</v>
      </c>
      <c r="L3349">
        <v>0.0</v>
      </c>
      <c r="M3349"/>
      <c r="N3349"/>
      <c r="O3349">
        <v>0.56</v>
      </c>
      <c r="P3349">
        <v>0.0</v>
      </c>
      <c r="Q3349">
        <v>3.7</v>
      </c>
      <c r="R3349"/>
      <c r="S3349"/>
      <c r="T3349"/>
      <c r="U3349"/>
      <c r="V3349"/>
      <c r="W3349">
        <v>18</v>
      </c>
    </row>
    <row r="3350" spans="1:23">
      <c r="A3350"/>
      <c r="B3350" t="s">
        <v>83</v>
      </c>
      <c r="C3350" t="s">
        <v>83</v>
      </c>
      <c r="D3350" t="s">
        <v>33</v>
      </c>
      <c r="E3350" t="s">
        <v>34</v>
      </c>
      <c r="F3350" t="str">
        <f>"0003647"</f>
        <v>0003647</v>
      </c>
      <c r="G3350">
        <v>1</v>
      </c>
      <c r="H3350" t="str">
        <f>"00000000"</f>
        <v>00000000</v>
      </c>
      <c r="I3350" t="s">
        <v>35</v>
      </c>
      <c r="J3350"/>
      <c r="K3350">
        <v>2.03</v>
      </c>
      <c r="L3350">
        <v>0.0</v>
      </c>
      <c r="M3350"/>
      <c r="N3350"/>
      <c r="O3350">
        <v>0.37</v>
      </c>
      <c r="P3350">
        <v>0.0</v>
      </c>
      <c r="Q3350">
        <v>2.4</v>
      </c>
      <c r="R3350"/>
      <c r="S3350"/>
      <c r="T3350"/>
      <c r="U3350"/>
      <c r="V3350"/>
      <c r="W3350">
        <v>18</v>
      </c>
    </row>
    <row r="3351" spans="1:23">
      <c r="A3351"/>
      <c r="B3351" t="s">
        <v>83</v>
      </c>
      <c r="C3351" t="s">
        <v>83</v>
      </c>
      <c r="D3351" t="s">
        <v>33</v>
      </c>
      <c r="E3351" t="s">
        <v>34</v>
      </c>
      <c r="F3351" t="str">
        <f>"0003648"</f>
        <v>0003648</v>
      </c>
      <c r="G3351">
        <v>1</v>
      </c>
      <c r="H3351" t="str">
        <f>"00000000"</f>
        <v>00000000</v>
      </c>
      <c r="I3351" t="s">
        <v>35</v>
      </c>
      <c r="J3351"/>
      <c r="K3351">
        <v>0.02</v>
      </c>
      <c r="L3351">
        <v>0.0</v>
      </c>
      <c r="M3351"/>
      <c r="N3351"/>
      <c r="O3351">
        <v>0.0</v>
      </c>
      <c r="P3351">
        <v>0.2</v>
      </c>
      <c r="Q3351">
        <v>0.22</v>
      </c>
      <c r="R3351"/>
      <c r="S3351"/>
      <c r="T3351"/>
      <c r="U3351"/>
      <c r="V3351"/>
      <c r="W3351">
        <v>18</v>
      </c>
    </row>
    <row r="3352" spans="1:23">
      <c r="A3352"/>
      <c r="B3352" t="s">
        <v>83</v>
      </c>
      <c r="C3352" t="s">
        <v>83</v>
      </c>
      <c r="D3352" t="s">
        <v>33</v>
      </c>
      <c r="E3352" t="s">
        <v>34</v>
      </c>
      <c r="F3352" t="str">
        <f>"0003649"</f>
        <v>0003649</v>
      </c>
      <c r="G3352">
        <v>1</v>
      </c>
      <c r="H3352" t="str">
        <f>"00000000"</f>
        <v>00000000</v>
      </c>
      <c r="I3352" t="s">
        <v>35</v>
      </c>
      <c r="J3352"/>
      <c r="K3352">
        <v>51.97</v>
      </c>
      <c r="L3352">
        <v>0.0</v>
      </c>
      <c r="M3352"/>
      <c r="N3352"/>
      <c r="O3352">
        <v>9.35</v>
      </c>
      <c r="P3352">
        <v>0.2</v>
      </c>
      <c r="Q3352">
        <v>61.52</v>
      </c>
      <c r="R3352"/>
      <c r="S3352"/>
      <c r="T3352"/>
      <c r="U3352"/>
      <c r="V3352"/>
      <c r="W3352">
        <v>18</v>
      </c>
    </row>
    <row r="3353" spans="1:23">
      <c r="A3353"/>
      <c r="B3353" t="s">
        <v>83</v>
      </c>
      <c r="C3353" t="s">
        <v>83</v>
      </c>
      <c r="D3353" t="s">
        <v>33</v>
      </c>
      <c r="E3353" t="s">
        <v>34</v>
      </c>
      <c r="F3353" t="str">
        <f>"0003650"</f>
        <v>0003650</v>
      </c>
      <c r="G3353">
        <v>1</v>
      </c>
      <c r="H3353" t="str">
        <f>"00000000"</f>
        <v>00000000</v>
      </c>
      <c r="I3353" t="s">
        <v>35</v>
      </c>
      <c r="J3353"/>
      <c r="K3353">
        <v>1.27</v>
      </c>
      <c r="L3353">
        <v>0.0</v>
      </c>
      <c r="M3353"/>
      <c r="N3353"/>
      <c r="O3353">
        <v>0.23</v>
      </c>
      <c r="P3353">
        <v>0.0</v>
      </c>
      <c r="Q3353">
        <v>1.5</v>
      </c>
      <c r="R3353"/>
      <c r="S3353"/>
      <c r="T3353"/>
      <c r="U3353"/>
      <c r="V3353"/>
      <c r="W3353">
        <v>18</v>
      </c>
    </row>
    <row r="3354" spans="1:23">
      <c r="A3354"/>
      <c r="B3354" t="s">
        <v>83</v>
      </c>
      <c r="C3354" t="s">
        <v>83</v>
      </c>
      <c r="D3354" t="s">
        <v>33</v>
      </c>
      <c r="E3354" t="s">
        <v>34</v>
      </c>
      <c r="F3354" t="str">
        <f>"0003651"</f>
        <v>0003651</v>
      </c>
      <c r="G3354">
        <v>1</v>
      </c>
      <c r="H3354" t="str">
        <f>"00000000"</f>
        <v>00000000</v>
      </c>
      <c r="I3354" t="s">
        <v>35</v>
      </c>
      <c r="J3354"/>
      <c r="K3354">
        <v>7.63</v>
      </c>
      <c r="L3354">
        <v>0.0</v>
      </c>
      <c r="M3354"/>
      <c r="N3354"/>
      <c r="O3354">
        <v>1.37</v>
      </c>
      <c r="P3354">
        <v>0.0</v>
      </c>
      <c r="Q3354">
        <v>9.0</v>
      </c>
      <c r="R3354"/>
      <c r="S3354"/>
      <c r="T3354"/>
      <c r="U3354"/>
      <c r="V3354"/>
      <c r="W3354">
        <v>18</v>
      </c>
    </row>
    <row r="3355" spans="1:23">
      <c r="A3355"/>
      <c r="B3355" t="s">
        <v>83</v>
      </c>
      <c r="C3355" t="s">
        <v>83</v>
      </c>
      <c r="D3355" t="s">
        <v>33</v>
      </c>
      <c r="E3355" t="s">
        <v>34</v>
      </c>
      <c r="F3355" t="str">
        <f>"0003652"</f>
        <v>0003652</v>
      </c>
      <c r="G3355">
        <v>1</v>
      </c>
      <c r="H3355" t="str">
        <f>"00000000"</f>
        <v>00000000</v>
      </c>
      <c r="I3355" t="s">
        <v>35</v>
      </c>
      <c r="J3355"/>
      <c r="K3355">
        <v>2.12</v>
      </c>
      <c r="L3355">
        <v>0.0</v>
      </c>
      <c r="M3355"/>
      <c r="N3355"/>
      <c r="O3355">
        <v>0.38</v>
      </c>
      <c r="P3355">
        <v>0.0</v>
      </c>
      <c r="Q3355">
        <v>2.5</v>
      </c>
      <c r="R3355"/>
      <c r="S3355"/>
      <c r="T3355"/>
      <c r="U3355"/>
      <c r="V3355"/>
      <c r="W3355">
        <v>18</v>
      </c>
    </row>
    <row r="3356" spans="1:23">
      <c r="A3356"/>
      <c r="B3356" t="s">
        <v>83</v>
      </c>
      <c r="C3356" t="s">
        <v>83</v>
      </c>
      <c r="D3356" t="s">
        <v>33</v>
      </c>
      <c r="E3356" t="s">
        <v>34</v>
      </c>
      <c r="F3356" t="str">
        <f>"0003653"</f>
        <v>0003653</v>
      </c>
      <c r="G3356">
        <v>1</v>
      </c>
      <c r="H3356" t="str">
        <f>"00000000"</f>
        <v>00000000</v>
      </c>
      <c r="I3356" t="s">
        <v>35</v>
      </c>
      <c r="J3356"/>
      <c r="K3356">
        <v>8.39</v>
      </c>
      <c r="L3356">
        <v>0.0</v>
      </c>
      <c r="M3356"/>
      <c r="N3356"/>
      <c r="O3356">
        <v>1.51</v>
      </c>
      <c r="P3356">
        <v>0.0</v>
      </c>
      <c r="Q3356">
        <v>9.9</v>
      </c>
      <c r="R3356"/>
      <c r="S3356"/>
      <c r="T3356"/>
      <c r="U3356"/>
      <c r="V3356"/>
      <c r="W3356">
        <v>18</v>
      </c>
    </row>
    <row r="3357" spans="1:23">
      <c r="A3357"/>
      <c r="B3357" t="s">
        <v>83</v>
      </c>
      <c r="C3357" t="s">
        <v>83</v>
      </c>
      <c r="D3357" t="s">
        <v>33</v>
      </c>
      <c r="E3357" t="s">
        <v>34</v>
      </c>
      <c r="F3357" t="str">
        <f>"0003654"</f>
        <v>0003654</v>
      </c>
      <c r="G3357">
        <v>1</v>
      </c>
      <c r="H3357" t="str">
        <f>"00000000"</f>
        <v>00000000</v>
      </c>
      <c r="I3357" t="s">
        <v>35</v>
      </c>
      <c r="J3357"/>
      <c r="K3357">
        <v>14.95</v>
      </c>
      <c r="L3357">
        <v>0.0</v>
      </c>
      <c r="M3357"/>
      <c r="N3357"/>
      <c r="O3357">
        <v>2.69</v>
      </c>
      <c r="P3357">
        <v>0.2</v>
      </c>
      <c r="Q3357">
        <v>17.84</v>
      </c>
      <c r="R3357"/>
      <c r="S3357"/>
      <c r="T3357"/>
      <c r="U3357"/>
      <c r="V3357"/>
      <c r="W3357">
        <v>18</v>
      </c>
    </row>
    <row r="3358" spans="1:23">
      <c r="A3358"/>
      <c r="B3358" t="s">
        <v>83</v>
      </c>
      <c r="C3358" t="s">
        <v>83</v>
      </c>
      <c r="D3358" t="s">
        <v>33</v>
      </c>
      <c r="E3358" t="s">
        <v>34</v>
      </c>
      <c r="F3358" t="str">
        <f>"0003655"</f>
        <v>0003655</v>
      </c>
      <c r="G3358">
        <v>1</v>
      </c>
      <c r="H3358" t="str">
        <f>"00000000"</f>
        <v>00000000</v>
      </c>
      <c r="I3358" t="s">
        <v>35</v>
      </c>
      <c r="J3358"/>
      <c r="K3358">
        <v>4.24</v>
      </c>
      <c r="L3358">
        <v>0.0</v>
      </c>
      <c r="M3358"/>
      <c r="N3358"/>
      <c r="O3358">
        <v>0.76</v>
      </c>
      <c r="P3358">
        <v>0.0</v>
      </c>
      <c r="Q3358">
        <v>5.0</v>
      </c>
      <c r="R3358"/>
      <c r="S3358"/>
      <c r="T3358"/>
      <c r="U3358"/>
      <c r="V3358"/>
      <c r="W3358">
        <v>18</v>
      </c>
    </row>
    <row r="3359" spans="1:23">
      <c r="A3359"/>
      <c r="B3359" t="s">
        <v>83</v>
      </c>
      <c r="C3359" t="s">
        <v>83</v>
      </c>
      <c r="D3359" t="s">
        <v>33</v>
      </c>
      <c r="E3359" t="s">
        <v>34</v>
      </c>
      <c r="F3359" t="str">
        <f>"0003656"</f>
        <v>0003656</v>
      </c>
      <c r="G3359">
        <v>1</v>
      </c>
      <c r="H3359" t="str">
        <f>"00000000"</f>
        <v>00000000</v>
      </c>
      <c r="I3359" t="s">
        <v>35</v>
      </c>
      <c r="J3359"/>
      <c r="K3359">
        <v>2.12</v>
      </c>
      <c r="L3359">
        <v>0.0</v>
      </c>
      <c r="M3359"/>
      <c r="N3359"/>
      <c r="O3359">
        <v>0.38</v>
      </c>
      <c r="P3359">
        <v>0.0</v>
      </c>
      <c r="Q3359">
        <v>2.5</v>
      </c>
      <c r="R3359"/>
      <c r="S3359"/>
      <c r="T3359"/>
      <c r="U3359"/>
      <c r="V3359"/>
      <c r="W3359">
        <v>18</v>
      </c>
    </row>
    <row r="3360" spans="1:23">
      <c r="A3360"/>
      <c r="B3360" t="s">
        <v>83</v>
      </c>
      <c r="C3360" t="s">
        <v>83</v>
      </c>
      <c r="D3360" t="s">
        <v>33</v>
      </c>
      <c r="E3360" t="s">
        <v>34</v>
      </c>
      <c r="F3360" t="str">
        <f>"0003657"</f>
        <v>0003657</v>
      </c>
      <c r="G3360">
        <v>1</v>
      </c>
      <c r="H3360" t="str">
        <f>"00000000"</f>
        <v>00000000</v>
      </c>
      <c r="I3360" t="s">
        <v>35</v>
      </c>
      <c r="J3360"/>
      <c r="K3360">
        <v>3.14</v>
      </c>
      <c r="L3360">
        <v>0.0</v>
      </c>
      <c r="M3360"/>
      <c r="N3360"/>
      <c r="O3360">
        <v>0.56</v>
      </c>
      <c r="P3360">
        <v>0.0</v>
      </c>
      <c r="Q3360">
        <v>3.7</v>
      </c>
      <c r="R3360"/>
      <c r="S3360"/>
      <c r="T3360"/>
      <c r="U3360"/>
      <c r="V3360"/>
      <c r="W3360">
        <v>18</v>
      </c>
    </row>
    <row r="3361" spans="1:23">
      <c r="A3361"/>
      <c r="B3361" t="s">
        <v>83</v>
      </c>
      <c r="C3361" t="s">
        <v>83</v>
      </c>
      <c r="D3361" t="s">
        <v>33</v>
      </c>
      <c r="E3361" t="s">
        <v>34</v>
      </c>
      <c r="F3361" t="str">
        <f>"0003658"</f>
        <v>0003658</v>
      </c>
      <c r="G3361">
        <v>1</v>
      </c>
      <c r="H3361" t="str">
        <f>"00000000"</f>
        <v>00000000</v>
      </c>
      <c r="I3361" t="s">
        <v>35</v>
      </c>
      <c r="J3361"/>
      <c r="K3361">
        <v>3.31</v>
      </c>
      <c r="L3361">
        <v>0.0</v>
      </c>
      <c r="M3361"/>
      <c r="N3361"/>
      <c r="O3361">
        <v>0.59</v>
      </c>
      <c r="P3361">
        <v>0.0</v>
      </c>
      <c r="Q3361">
        <v>3.9</v>
      </c>
      <c r="R3361"/>
      <c r="S3361"/>
      <c r="T3361"/>
      <c r="U3361"/>
      <c r="V3361"/>
      <c r="W3361">
        <v>18</v>
      </c>
    </row>
    <row r="3362" spans="1:23">
      <c r="A3362"/>
      <c r="B3362" t="s">
        <v>83</v>
      </c>
      <c r="C3362" t="s">
        <v>83</v>
      </c>
      <c r="D3362" t="s">
        <v>33</v>
      </c>
      <c r="E3362" t="s">
        <v>34</v>
      </c>
      <c r="F3362" t="str">
        <f>"0003659"</f>
        <v>0003659</v>
      </c>
      <c r="G3362">
        <v>1</v>
      </c>
      <c r="H3362" t="str">
        <f>"00000000"</f>
        <v>00000000</v>
      </c>
      <c r="I3362" t="s">
        <v>35</v>
      </c>
      <c r="J3362"/>
      <c r="K3362">
        <v>0.0</v>
      </c>
      <c r="L3362">
        <v>4.0</v>
      </c>
      <c r="M3362"/>
      <c r="N3362"/>
      <c r="O3362">
        <v>0.0</v>
      </c>
      <c r="P3362">
        <v>0.0</v>
      </c>
      <c r="Q3362">
        <v>4.0</v>
      </c>
      <c r="R3362"/>
      <c r="S3362"/>
      <c r="T3362"/>
      <c r="U3362"/>
      <c r="V3362"/>
      <c r="W3362">
        <v>18</v>
      </c>
    </row>
    <row r="3363" spans="1:23">
      <c r="A3363"/>
      <c r="B3363" t="s">
        <v>84</v>
      </c>
      <c r="C3363" t="s">
        <v>84</v>
      </c>
      <c r="D3363" t="s">
        <v>33</v>
      </c>
      <c r="E3363" t="s">
        <v>34</v>
      </c>
      <c r="F3363" t="str">
        <f>"0003660"</f>
        <v>0003660</v>
      </c>
      <c r="G3363">
        <v>1</v>
      </c>
      <c r="H3363" t="str">
        <f>"00000000"</f>
        <v>00000000</v>
      </c>
      <c r="I3363" t="s">
        <v>35</v>
      </c>
      <c r="J3363"/>
      <c r="K3363">
        <v>14.76</v>
      </c>
      <c r="L3363">
        <v>4.35</v>
      </c>
      <c r="M3363"/>
      <c r="N3363"/>
      <c r="O3363">
        <v>2.66</v>
      </c>
      <c r="P3363">
        <v>0.2</v>
      </c>
      <c r="Q3363">
        <v>21.97</v>
      </c>
      <c r="R3363"/>
      <c r="S3363"/>
      <c r="T3363"/>
      <c r="U3363"/>
      <c r="V3363"/>
      <c r="W3363">
        <v>18</v>
      </c>
    </row>
    <row r="3364" spans="1:23">
      <c r="A3364"/>
      <c r="B3364" t="s">
        <v>84</v>
      </c>
      <c r="C3364" t="s">
        <v>84</v>
      </c>
      <c r="D3364" t="s">
        <v>33</v>
      </c>
      <c r="E3364" t="s">
        <v>34</v>
      </c>
      <c r="F3364" t="str">
        <f>"0003661"</f>
        <v>0003661</v>
      </c>
      <c r="G3364">
        <v>1</v>
      </c>
      <c r="H3364" t="str">
        <f>"00000000"</f>
        <v>00000000</v>
      </c>
      <c r="I3364" t="s">
        <v>35</v>
      </c>
      <c r="J3364"/>
      <c r="K3364">
        <v>9.62</v>
      </c>
      <c r="L3364">
        <v>0.0</v>
      </c>
      <c r="M3364"/>
      <c r="N3364"/>
      <c r="O3364">
        <v>1.73</v>
      </c>
      <c r="P3364">
        <v>0.0</v>
      </c>
      <c r="Q3364">
        <v>11.36</v>
      </c>
      <c r="R3364"/>
      <c r="S3364"/>
      <c r="T3364"/>
      <c r="U3364"/>
      <c r="V3364"/>
      <c r="W3364">
        <v>18</v>
      </c>
    </row>
    <row r="3365" spans="1:23">
      <c r="A3365"/>
      <c r="B3365" t="s">
        <v>84</v>
      </c>
      <c r="C3365" t="s">
        <v>84</v>
      </c>
      <c r="D3365" t="s">
        <v>33</v>
      </c>
      <c r="E3365" t="s">
        <v>34</v>
      </c>
      <c r="F3365" t="str">
        <f>"0003662"</f>
        <v>0003662</v>
      </c>
      <c r="G3365">
        <v>1</v>
      </c>
      <c r="H3365" t="str">
        <f>"00000000"</f>
        <v>00000000</v>
      </c>
      <c r="I3365" t="s">
        <v>35</v>
      </c>
      <c r="J3365"/>
      <c r="K3365">
        <v>1.53</v>
      </c>
      <c r="L3365">
        <v>0.0</v>
      </c>
      <c r="M3365"/>
      <c r="N3365"/>
      <c r="O3365">
        <v>0.27</v>
      </c>
      <c r="P3365">
        <v>0.0</v>
      </c>
      <c r="Q3365">
        <v>1.8</v>
      </c>
      <c r="R3365"/>
      <c r="S3365"/>
      <c r="T3365"/>
      <c r="U3365"/>
      <c r="V3365"/>
      <c r="W3365">
        <v>18</v>
      </c>
    </row>
    <row r="3366" spans="1:23">
      <c r="A3366"/>
      <c r="B3366" t="s">
        <v>84</v>
      </c>
      <c r="C3366" t="s">
        <v>84</v>
      </c>
      <c r="D3366" t="s">
        <v>33</v>
      </c>
      <c r="E3366" t="s">
        <v>34</v>
      </c>
      <c r="F3366" t="str">
        <f>"0003663"</f>
        <v>0003663</v>
      </c>
      <c r="G3366">
        <v>1</v>
      </c>
      <c r="H3366" t="str">
        <f>"00000000"</f>
        <v>00000000</v>
      </c>
      <c r="I3366" t="s">
        <v>35</v>
      </c>
      <c r="J3366"/>
      <c r="K3366">
        <v>3.81</v>
      </c>
      <c r="L3366">
        <v>0.0</v>
      </c>
      <c r="M3366"/>
      <c r="N3366"/>
      <c r="O3366">
        <v>0.69</v>
      </c>
      <c r="P3366">
        <v>0.0</v>
      </c>
      <c r="Q3366">
        <v>4.5</v>
      </c>
      <c r="R3366"/>
      <c r="S3366"/>
      <c r="T3366"/>
      <c r="U3366"/>
      <c r="V3366"/>
      <c r="W3366">
        <v>18</v>
      </c>
    </row>
    <row r="3367" spans="1:23">
      <c r="A3367"/>
      <c r="B3367" t="s">
        <v>84</v>
      </c>
      <c r="C3367" t="s">
        <v>84</v>
      </c>
      <c r="D3367" t="s">
        <v>33</v>
      </c>
      <c r="E3367" t="s">
        <v>34</v>
      </c>
      <c r="F3367" t="str">
        <f>"0003664"</f>
        <v>0003664</v>
      </c>
      <c r="G3367">
        <v>1</v>
      </c>
      <c r="H3367" t="str">
        <f>"00000000"</f>
        <v>00000000</v>
      </c>
      <c r="I3367" t="s">
        <v>35</v>
      </c>
      <c r="J3367"/>
      <c r="K3367">
        <v>16.54</v>
      </c>
      <c r="L3367">
        <v>0.0</v>
      </c>
      <c r="M3367"/>
      <c r="N3367"/>
      <c r="O3367">
        <v>2.98</v>
      </c>
      <c r="P3367">
        <v>0.2</v>
      </c>
      <c r="Q3367">
        <v>19.72</v>
      </c>
      <c r="R3367"/>
      <c r="S3367"/>
      <c r="T3367"/>
      <c r="U3367"/>
      <c r="V3367"/>
      <c r="W3367">
        <v>18</v>
      </c>
    </row>
    <row r="3368" spans="1:23">
      <c r="A3368"/>
      <c r="B3368" t="s">
        <v>84</v>
      </c>
      <c r="C3368" t="s">
        <v>84</v>
      </c>
      <c r="D3368" t="s">
        <v>33</v>
      </c>
      <c r="E3368" t="s">
        <v>34</v>
      </c>
      <c r="F3368" t="str">
        <f>"0003665"</f>
        <v>0003665</v>
      </c>
      <c r="G3368">
        <v>1</v>
      </c>
      <c r="H3368" t="str">
        <f>"00000000"</f>
        <v>00000000</v>
      </c>
      <c r="I3368" t="s">
        <v>35</v>
      </c>
      <c r="J3368"/>
      <c r="K3368">
        <v>47.9</v>
      </c>
      <c r="L3368">
        <v>0.0</v>
      </c>
      <c r="M3368"/>
      <c r="N3368"/>
      <c r="O3368">
        <v>8.62</v>
      </c>
      <c r="P3368">
        <v>0.2</v>
      </c>
      <c r="Q3368">
        <v>56.73</v>
      </c>
      <c r="R3368"/>
      <c r="S3368"/>
      <c r="T3368"/>
      <c r="U3368"/>
      <c r="V3368"/>
      <c r="W3368">
        <v>18</v>
      </c>
    </row>
    <row r="3369" spans="1:23">
      <c r="A3369"/>
      <c r="B3369" t="s">
        <v>84</v>
      </c>
      <c r="C3369" t="s">
        <v>84</v>
      </c>
      <c r="D3369" t="s">
        <v>33</v>
      </c>
      <c r="E3369" t="s">
        <v>34</v>
      </c>
      <c r="F3369" t="str">
        <f>"0003666"</f>
        <v>0003666</v>
      </c>
      <c r="G3369">
        <v>1</v>
      </c>
      <c r="H3369" t="str">
        <f>"00000000"</f>
        <v>00000000</v>
      </c>
      <c r="I3369" t="s">
        <v>35</v>
      </c>
      <c r="J3369"/>
      <c r="K3369">
        <v>11.03</v>
      </c>
      <c r="L3369">
        <v>0.0</v>
      </c>
      <c r="M3369"/>
      <c r="N3369"/>
      <c r="O3369">
        <v>1.98</v>
      </c>
      <c r="P3369">
        <v>0.2</v>
      </c>
      <c r="Q3369">
        <v>13.21</v>
      </c>
      <c r="R3369"/>
      <c r="S3369"/>
      <c r="T3369"/>
      <c r="U3369"/>
      <c r="V3369"/>
      <c r="W3369">
        <v>18</v>
      </c>
    </row>
    <row r="3370" spans="1:23">
      <c r="A3370"/>
      <c r="B3370" t="s">
        <v>84</v>
      </c>
      <c r="C3370" t="s">
        <v>84</v>
      </c>
      <c r="D3370" t="s">
        <v>33</v>
      </c>
      <c r="E3370" t="s">
        <v>34</v>
      </c>
      <c r="F3370" t="str">
        <f>"0003667"</f>
        <v>0003667</v>
      </c>
      <c r="G3370">
        <v>1</v>
      </c>
      <c r="H3370" t="str">
        <f>"00000000"</f>
        <v>00000000</v>
      </c>
      <c r="I3370" t="s">
        <v>35</v>
      </c>
      <c r="J3370"/>
      <c r="K3370">
        <v>2.53</v>
      </c>
      <c r="L3370">
        <v>3.86</v>
      </c>
      <c r="M3370"/>
      <c r="N3370"/>
      <c r="O3370">
        <v>0.46</v>
      </c>
      <c r="P3370">
        <v>0.0</v>
      </c>
      <c r="Q3370">
        <v>6.85</v>
      </c>
      <c r="R3370"/>
      <c r="S3370"/>
      <c r="T3370"/>
      <c r="U3370"/>
      <c r="V3370"/>
      <c r="W3370">
        <v>18</v>
      </c>
    </row>
    <row r="3371" spans="1:23">
      <c r="A3371"/>
      <c r="B3371" t="s">
        <v>84</v>
      </c>
      <c r="C3371" t="s">
        <v>84</v>
      </c>
      <c r="D3371" t="s">
        <v>33</v>
      </c>
      <c r="E3371" t="s">
        <v>34</v>
      </c>
      <c r="F3371" t="str">
        <f>"0003668"</f>
        <v>0003668</v>
      </c>
      <c r="G3371">
        <v>1</v>
      </c>
      <c r="H3371" t="str">
        <f>"00000000"</f>
        <v>00000000</v>
      </c>
      <c r="I3371" t="s">
        <v>35</v>
      </c>
      <c r="J3371"/>
      <c r="K3371">
        <v>9.62</v>
      </c>
      <c r="L3371">
        <v>1.92</v>
      </c>
      <c r="M3371"/>
      <c r="N3371"/>
      <c r="O3371">
        <v>1.73</v>
      </c>
      <c r="P3371">
        <v>0.0</v>
      </c>
      <c r="Q3371">
        <v>13.27</v>
      </c>
      <c r="R3371"/>
      <c r="S3371"/>
      <c r="T3371"/>
      <c r="U3371"/>
      <c r="V3371"/>
      <c r="W3371">
        <v>18</v>
      </c>
    </row>
    <row r="3372" spans="1:23">
      <c r="A3372"/>
      <c r="B3372" t="s">
        <v>84</v>
      </c>
      <c r="C3372" t="s">
        <v>84</v>
      </c>
      <c r="D3372" t="s">
        <v>33</v>
      </c>
      <c r="E3372" t="s">
        <v>34</v>
      </c>
      <c r="F3372" t="str">
        <f>"0003669"</f>
        <v>0003669</v>
      </c>
      <c r="G3372">
        <v>1</v>
      </c>
      <c r="H3372" t="str">
        <f>"00000000"</f>
        <v>00000000</v>
      </c>
      <c r="I3372" t="s">
        <v>35</v>
      </c>
      <c r="J3372"/>
      <c r="K3372">
        <v>0.0</v>
      </c>
      <c r="L3372">
        <v>5.85</v>
      </c>
      <c r="M3372"/>
      <c r="N3372"/>
      <c r="O3372">
        <v>0.0</v>
      </c>
      <c r="P3372">
        <v>0.0</v>
      </c>
      <c r="Q3372">
        <v>5.85</v>
      </c>
      <c r="R3372"/>
      <c r="S3372"/>
      <c r="T3372"/>
      <c r="U3372"/>
      <c r="V3372"/>
      <c r="W3372">
        <v>18</v>
      </c>
    </row>
    <row r="3373" spans="1:23">
      <c r="A3373"/>
      <c r="B3373" t="s">
        <v>84</v>
      </c>
      <c r="C3373" t="s">
        <v>84</v>
      </c>
      <c r="D3373" t="s">
        <v>33</v>
      </c>
      <c r="E3373" t="s">
        <v>34</v>
      </c>
      <c r="F3373" t="str">
        <f>"0003670"</f>
        <v>0003670</v>
      </c>
      <c r="G3373">
        <v>1</v>
      </c>
      <c r="H3373" t="str">
        <f>"00000000"</f>
        <v>00000000</v>
      </c>
      <c r="I3373" t="s">
        <v>35</v>
      </c>
      <c r="J3373"/>
      <c r="K3373">
        <v>19.32</v>
      </c>
      <c r="L3373">
        <v>0.0</v>
      </c>
      <c r="M3373"/>
      <c r="N3373"/>
      <c r="O3373">
        <v>3.48</v>
      </c>
      <c r="P3373">
        <v>0.0</v>
      </c>
      <c r="Q3373">
        <v>22.8</v>
      </c>
      <c r="R3373"/>
      <c r="S3373"/>
      <c r="T3373"/>
      <c r="U3373"/>
      <c r="V3373"/>
      <c r="W3373">
        <v>18</v>
      </c>
    </row>
    <row r="3374" spans="1:23">
      <c r="A3374"/>
      <c r="B3374" t="s">
        <v>84</v>
      </c>
      <c r="C3374" t="s">
        <v>84</v>
      </c>
      <c r="D3374" t="s">
        <v>33</v>
      </c>
      <c r="E3374" t="s">
        <v>34</v>
      </c>
      <c r="F3374" t="str">
        <f>"0003671"</f>
        <v>0003671</v>
      </c>
      <c r="G3374">
        <v>1</v>
      </c>
      <c r="H3374" t="str">
        <f>"00000000"</f>
        <v>00000000</v>
      </c>
      <c r="I3374" t="s">
        <v>35</v>
      </c>
      <c r="J3374"/>
      <c r="K3374">
        <v>21.19</v>
      </c>
      <c r="L3374">
        <v>0.0</v>
      </c>
      <c r="M3374"/>
      <c r="N3374"/>
      <c r="O3374">
        <v>3.81</v>
      </c>
      <c r="P3374">
        <v>0.0</v>
      </c>
      <c r="Q3374">
        <v>25.0</v>
      </c>
      <c r="R3374"/>
      <c r="S3374"/>
      <c r="T3374"/>
      <c r="U3374"/>
      <c r="V3374"/>
      <c r="W3374">
        <v>18</v>
      </c>
    </row>
    <row r="3375" spans="1:23">
      <c r="A3375"/>
      <c r="B3375" t="s">
        <v>84</v>
      </c>
      <c r="C3375" t="s">
        <v>84</v>
      </c>
      <c r="D3375" t="s">
        <v>33</v>
      </c>
      <c r="E3375" t="s">
        <v>34</v>
      </c>
      <c r="F3375" t="str">
        <f>"0003672"</f>
        <v>0003672</v>
      </c>
      <c r="G3375">
        <v>1</v>
      </c>
      <c r="H3375" t="str">
        <f>"00000000"</f>
        <v>00000000</v>
      </c>
      <c r="I3375" t="s">
        <v>35</v>
      </c>
      <c r="J3375"/>
      <c r="K3375">
        <v>97.11</v>
      </c>
      <c r="L3375">
        <v>67.19</v>
      </c>
      <c r="M3375"/>
      <c r="N3375"/>
      <c r="O3375">
        <v>17.48</v>
      </c>
      <c r="P3375">
        <v>0.6</v>
      </c>
      <c r="Q3375">
        <v>182.37</v>
      </c>
      <c r="R3375"/>
      <c r="S3375"/>
      <c r="T3375"/>
      <c r="U3375"/>
      <c r="V3375"/>
      <c r="W3375">
        <v>18</v>
      </c>
    </row>
    <row r="3376" spans="1:23">
      <c r="A3376"/>
      <c r="B3376" t="s">
        <v>84</v>
      </c>
      <c r="C3376" t="s">
        <v>84</v>
      </c>
      <c r="D3376" t="s">
        <v>33</v>
      </c>
      <c r="E3376" t="s">
        <v>34</v>
      </c>
      <c r="F3376" t="str">
        <f>"0003673"</f>
        <v>0003673</v>
      </c>
      <c r="G3376">
        <v>1</v>
      </c>
      <c r="H3376" t="str">
        <f>"00000000"</f>
        <v>00000000</v>
      </c>
      <c r="I3376" t="s">
        <v>35</v>
      </c>
      <c r="J3376"/>
      <c r="K3376">
        <v>2.54</v>
      </c>
      <c r="L3376">
        <v>2.61</v>
      </c>
      <c r="M3376"/>
      <c r="N3376"/>
      <c r="O3376">
        <v>0.46</v>
      </c>
      <c r="P3376">
        <v>0.0</v>
      </c>
      <c r="Q3376">
        <v>5.61</v>
      </c>
      <c r="R3376"/>
      <c r="S3376"/>
      <c r="T3376"/>
      <c r="U3376"/>
      <c r="V3376"/>
      <c r="W3376">
        <v>18</v>
      </c>
    </row>
    <row r="3377" spans="1:23">
      <c r="A3377"/>
      <c r="B3377" t="s">
        <v>84</v>
      </c>
      <c r="C3377" t="s">
        <v>84</v>
      </c>
      <c r="D3377" t="s">
        <v>33</v>
      </c>
      <c r="E3377" t="s">
        <v>34</v>
      </c>
      <c r="F3377" t="str">
        <f>"0003674"</f>
        <v>0003674</v>
      </c>
      <c r="G3377">
        <v>1</v>
      </c>
      <c r="H3377" t="str">
        <f>"00000000"</f>
        <v>00000000</v>
      </c>
      <c r="I3377" t="s">
        <v>35</v>
      </c>
      <c r="J3377"/>
      <c r="K3377">
        <v>15.2</v>
      </c>
      <c r="L3377">
        <v>0.0</v>
      </c>
      <c r="M3377"/>
      <c r="N3377"/>
      <c r="O3377">
        <v>2.74</v>
      </c>
      <c r="P3377">
        <v>0.0</v>
      </c>
      <c r="Q3377">
        <v>17.93</v>
      </c>
      <c r="R3377"/>
      <c r="S3377"/>
      <c r="T3377"/>
      <c r="U3377"/>
      <c r="V3377"/>
      <c r="W3377">
        <v>18</v>
      </c>
    </row>
    <row r="3378" spans="1:23">
      <c r="A3378"/>
      <c r="B3378" t="s">
        <v>84</v>
      </c>
      <c r="C3378" t="s">
        <v>84</v>
      </c>
      <c r="D3378" t="s">
        <v>33</v>
      </c>
      <c r="E3378" t="s">
        <v>34</v>
      </c>
      <c r="F3378" t="str">
        <f>"0003675"</f>
        <v>0003675</v>
      </c>
      <c r="G3378">
        <v>1</v>
      </c>
      <c r="H3378" t="str">
        <f>"00000000"</f>
        <v>00000000</v>
      </c>
      <c r="I3378" t="s">
        <v>35</v>
      </c>
      <c r="J3378"/>
      <c r="K3378">
        <v>7.25</v>
      </c>
      <c r="L3378">
        <v>2.36</v>
      </c>
      <c r="M3378"/>
      <c r="N3378"/>
      <c r="O3378">
        <v>1.3</v>
      </c>
      <c r="P3378">
        <v>0.0</v>
      </c>
      <c r="Q3378">
        <v>10.91</v>
      </c>
      <c r="R3378"/>
      <c r="S3378"/>
      <c r="T3378"/>
      <c r="U3378"/>
      <c r="V3378"/>
      <c r="W3378">
        <v>18</v>
      </c>
    </row>
    <row r="3379" spans="1:23">
      <c r="A3379"/>
      <c r="B3379" t="s">
        <v>84</v>
      </c>
      <c r="C3379" t="s">
        <v>84</v>
      </c>
      <c r="D3379" t="s">
        <v>33</v>
      </c>
      <c r="E3379" t="s">
        <v>34</v>
      </c>
      <c r="F3379" t="str">
        <f>"0003676"</f>
        <v>0003676</v>
      </c>
      <c r="G3379">
        <v>1</v>
      </c>
      <c r="H3379" t="str">
        <f>"00000000"</f>
        <v>00000000</v>
      </c>
      <c r="I3379" t="s">
        <v>35</v>
      </c>
      <c r="J3379"/>
      <c r="K3379">
        <v>15.27</v>
      </c>
      <c r="L3379">
        <v>0.0</v>
      </c>
      <c r="M3379"/>
      <c r="N3379"/>
      <c r="O3379">
        <v>2.75</v>
      </c>
      <c r="P3379">
        <v>0.2</v>
      </c>
      <c r="Q3379">
        <v>18.22</v>
      </c>
      <c r="R3379"/>
      <c r="S3379"/>
      <c r="T3379"/>
      <c r="U3379"/>
      <c r="V3379"/>
      <c r="W3379">
        <v>18</v>
      </c>
    </row>
    <row r="3380" spans="1:23">
      <c r="A3380"/>
      <c r="B3380" t="s">
        <v>84</v>
      </c>
      <c r="C3380" t="s">
        <v>84</v>
      </c>
      <c r="D3380" t="s">
        <v>33</v>
      </c>
      <c r="E3380" t="s">
        <v>34</v>
      </c>
      <c r="F3380" t="str">
        <f>"0003677"</f>
        <v>0003677</v>
      </c>
      <c r="G3380">
        <v>1</v>
      </c>
      <c r="H3380" t="str">
        <f>"00000000"</f>
        <v>00000000</v>
      </c>
      <c r="I3380" t="s">
        <v>35</v>
      </c>
      <c r="J3380"/>
      <c r="K3380">
        <v>1.86</v>
      </c>
      <c r="L3380">
        <v>0.0</v>
      </c>
      <c r="M3380"/>
      <c r="N3380"/>
      <c r="O3380">
        <v>0.34</v>
      </c>
      <c r="P3380">
        <v>0.0</v>
      </c>
      <c r="Q3380">
        <v>2.2</v>
      </c>
      <c r="R3380"/>
      <c r="S3380"/>
      <c r="T3380"/>
      <c r="U3380"/>
      <c r="V3380"/>
      <c r="W3380">
        <v>18</v>
      </c>
    </row>
    <row r="3381" spans="1:23">
      <c r="A3381"/>
      <c r="B3381" t="s">
        <v>84</v>
      </c>
      <c r="C3381" t="s">
        <v>84</v>
      </c>
      <c r="D3381" t="s">
        <v>33</v>
      </c>
      <c r="E3381" t="s">
        <v>34</v>
      </c>
      <c r="F3381" t="str">
        <f>"0003678"</f>
        <v>0003678</v>
      </c>
      <c r="G3381">
        <v>1</v>
      </c>
      <c r="H3381" t="str">
        <f>"00000000"</f>
        <v>00000000</v>
      </c>
      <c r="I3381" t="s">
        <v>35</v>
      </c>
      <c r="J3381"/>
      <c r="K3381">
        <v>1.69</v>
      </c>
      <c r="L3381">
        <v>0.0</v>
      </c>
      <c r="M3381"/>
      <c r="N3381"/>
      <c r="O3381">
        <v>0.31</v>
      </c>
      <c r="P3381">
        <v>0.0</v>
      </c>
      <c r="Q3381">
        <v>2.0</v>
      </c>
      <c r="R3381"/>
      <c r="S3381"/>
      <c r="T3381"/>
      <c r="U3381"/>
      <c r="V3381"/>
      <c r="W3381">
        <v>18</v>
      </c>
    </row>
    <row r="3382" spans="1:23">
      <c r="A3382"/>
      <c r="B3382" t="s">
        <v>84</v>
      </c>
      <c r="C3382" t="s">
        <v>84</v>
      </c>
      <c r="D3382" t="s">
        <v>33</v>
      </c>
      <c r="E3382" t="s">
        <v>34</v>
      </c>
      <c r="F3382" t="str">
        <f>"0003679"</f>
        <v>0003679</v>
      </c>
      <c r="G3382">
        <v>1</v>
      </c>
      <c r="H3382" t="str">
        <f>"00000000"</f>
        <v>00000000</v>
      </c>
      <c r="I3382" t="s">
        <v>35</v>
      </c>
      <c r="J3382"/>
      <c r="K3382">
        <v>78.32</v>
      </c>
      <c r="L3382">
        <v>0.0</v>
      </c>
      <c r="M3382"/>
      <c r="N3382"/>
      <c r="O3382">
        <v>14.1</v>
      </c>
      <c r="P3382">
        <v>0.2</v>
      </c>
      <c r="Q3382">
        <v>92.62</v>
      </c>
      <c r="R3382"/>
      <c r="S3382"/>
      <c r="T3382"/>
      <c r="U3382"/>
      <c r="V3382"/>
      <c r="W3382">
        <v>18</v>
      </c>
    </row>
    <row r="3383" spans="1:23">
      <c r="A3383"/>
      <c r="B3383" t="s">
        <v>84</v>
      </c>
      <c r="C3383" t="s">
        <v>84</v>
      </c>
      <c r="D3383" t="s">
        <v>33</v>
      </c>
      <c r="E3383" t="s">
        <v>34</v>
      </c>
      <c r="F3383" t="str">
        <f>"0003680"</f>
        <v>0003680</v>
      </c>
      <c r="G3383">
        <v>1</v>
      </c>
      <c r="H3383" t="str">
        <f>"00000000"</f>
        <v>00000000</v>
      </c>
      <c r="I3383" t="s">
        <v>35</v>
      </c>
      <c r="J3383"/>
      <c r="K3383">
        <v>17.92</v>
      </c>
      <c r="L3383">
        <v>17.5</v>
      </c>
      <c r="M3383"/>
      <c r="N3383"/>
      <c r="O3383">
        <v>3.22</v>
      </c>
      <c r="P3383">
        <v>0.4</v>
      </c>
      <c r="Q3383">
        <v>39.04</v>
      </c>
      <c r="R3383"/>
      <c r="S3383"/>
      <c r="T3383"/>
      <c r="U3383"/>
      <c r="V3383"/>
      <c r="W3383">
        <v>18</v>
      </c>
    </row>
    <row r="3384" spans="1:23">
      <c r="A3384"/>
      <c r="B3384" t="s">
        <v>84</v>
      </c>
      <c r="C3384" t="s">
        <v>84</v>
      </c>
      <c r="D3384" t="s">
        <v>33</v>
      </c>
      <c r="E3384" t="s">
        <v>34</v>
      </c>
      <c r="F3384" t="str">
        <f>"0003681"</f>
        <v>0003681</v>
      </c>
      <c r="G3384">
        <v>1</v>
      </c>
      <c r="H3384" t="str">
        <f>"00000000"</f>
        <v>00000000</v>
      </c>
      <c r="I3384" t="s">
        <v>35</v>
      </c>
      <c r="J3384"/>
      <c r="K3384">
        <v>9.92</v>
      </c>
      <c r="L3384">
        <v>0.0</v>
      </c>
      <c r="M3384"/>
      <c r="N3384"/>
      <c r="O3384">
        <v>1.78</v>
      </c>
      <c r="P3384">
        <v>0.0</v>
      </c>
      <c r="Q3384">
        <v>11.7</v>
      </c>
      <c r="R3384"/>
      <c r="S3384"/>
      <c r="T3384"/>
      <c r="U3384"/>
      <c r="V3384"/>
      <c r="W3384">
        <v>18</v>
      </c>
    </row>
    <row r="3385" spans="1:23">
      <c r="A3385"/>
      <c r="B3385" t="s">
        <v>84</v>
      </c>
      <c r="C3385" t="s">
        <v>84</v>
      </c>
      <c r="D3385" t="s">
        <v>33</v>
      </c>
      <c r="E3385" t="s">
        <v>34</v>
      </c>
      <c r="F3385" t="str">
        <f>"0003682"</f>
        <v>0003682</v>
      </c>
      <c r="G3385">
        <v>1</v>
      </c>
      <c r="H3385" t="str">
        <f>"00000000"</f>
        <v>00000000</v>
      </c>
      <c r="I3385" t="s">
        <v>35</v>
      </c>
      <c r="J3385"/>
      <c r="K3385">
        <v>0.02</v>
      </c>
      <c r="L3385">
        <v>0.0</v>
      </c>
      <c r="M3385"/>
      <c r="N3385"/>
      <c r="O3385">
        <v>0.0</v>
      </c>
      <c r="P3385">
        <v>0.2</v>
      </c>
      <c r="Q3385">
        <v>0.22</v>
      </c>
      <c r="R3385"/>
      <c r="S3385"/>
      <c r="T3385"/>
      <c r="U3385"/>
      <c r="V3385"/>
      <c r="W3385">
        <v>18</v>
      </c>
    </row>
    <row r="3386" spans="1:23">
      <c r="A3386"/>
      <c r="B3386" t="s">
        <v>84</v>
      </c>
      <c r="C3386" t="s">
        <v>84</v>
      </c>
      <c r="D3386" t="s">
        <v>33</v>
      </c>
      <c r="E3386" t="s">
        <v>34</v>
      </c>
      <c r="F3386" t="str">
        <f>"0003683"</f>
        <v>0003683</v>
      </c>
      <c r="G3386">
        <v>1</v>
      </c>
      <c r="H3386" t="str">
        <f>"00000000"</f>
        <v>00000000</v>
      </c>
      <c r="I3386" t="s">
        <v>35</v>
      </c>
      <c r="J3386"/>
      <c r="K3386">
        <v>4.45</v>
      </c>
      <c r="L3386">
        <v>0.0</v>
      </c>
      <c r="M3386"/>
      <c r="N3386"/>
      <c r="O3386">
        <v>0.8</v>
      </c>
      <c r="P3386">
        <v>0.0</v>
      </c>
      <c r="Q3386">
        <v>5.25</v>
      </c>
      <c r="R3386"/>
      <c r="S3386"/>
      <c r="T3386"/>
      <c r="U3386"/>
      <c r="V3386"/>
      <c r="W3386">
        <v>18</v>
      </c>
    </row>
    <row r="3387" spans="1:23">
      <c r="A3387"/>
      <c r="B3387" t="s">
        <v>84</v>
      </c>
      <c r="C3387" t="s">
        <v>84</v>
      </c>
      <c r="D3387" t="s">
        <v>33</v>
      </c>
      <c r="E3387" t="s">
        <v>34</v>
      </c>
      <c r="F3387" t="str">
        <f>"0003684"</f>
        <v>0003684</v>
      </c>
      <c r="G3387">
        <v>1</v>
      </c>
      <c r="H3387" t="str">
        <f>"00000000"</f>
        <v>00000000</v>
      </c>
      <c r="I3387" t="s">
        <v>35</v>
      </c>
      <c r="J3387"/>
      <c r="K3387">
        <v>0.0</v>
      </c>
      <c r="L3387">
        <v>11.46</v>
      </c>
      <c r="M3387"/>
      <c r="N3387"/>
      <c r="O3387">
        <v>0.0</v>
      </c>
      <c r="P3387">
        <v>0.0</v>
      </c>
      <c r="Q3387">
        <v>11.46</v>
      </c>
      <c r="R3387"/>
      <c r="S3387"/>
      <c r="T3387"/>
      <c r="U3387"/>
      <c r="V3387"/>
      <c r="W3387">
        <v>18</v>
      </c>
    </row>
    <row r="3388" spans="1:23">
      <c r="A3388"/>
      <c r="B3388" t="s">
        <v>84</v>
      </c>
      <c r="C3388" t="s">
        <v>84</v>
      </c>
      <c r="D3388" t="s">
        <v>33</v>
      </c>
      <c r="E3388" t="s">
        <v>34</v>
      </c>
      <c r="F3388" t="str">
        <f>"0003685"</f>
        <v>0003685</v>
      </c>
      <c r="G3388">
        <v>1</v>
      </c>
      <c r="H3388" t="str">
        <f>"00000000"</f>
        <v>00000000</v>
      </c>
      <c r="I3388" t="s">
        <v>35</v>
      </c>
      <c r="J3388"/>
      <c r="K3388">
        <v>84.35</v>
      </c>
      <c r="L3388">
        <v>4.75</v>
      </c>
      <c r="M3388"/>
      <c r="N3388"/>
      <c r="O3388">
        <v>15.18</v>
      </c>
      <c r="P3388">
        <v>0.4</v>
      </c>
      <c r="Q3388">
        <v>104.68</v>
      </c>
      <c r="R3388"/>
      <c r="S3388"/>
      <c r="T3388"/>
      <c r="U3388"/>
      <c r="V3388"/>
      <c r="W3388">
        <v>18</v>
      </c>
    </row>
    <row r="3389" spans="1:23">
      <c r="A3389"/>
      <c r="B3389" t="s">
        <v>84</v>
      </c>
      <c r="C3389" t="s">
        <v>84</v>
      </c>
      <c r="D3389" t="s">
        <v>33</v>
      </c>
      <c r="E3389" t="s">
        <v>34</v>
      </c>
      <c r="F3389" t="str">
        <f>"0003686"</f>
        <v>0003686</v>
      </c>
      <c r="G3389">
        <v>1</v>
      </c>
      <c r="H3389" t="str">
        <f>"00000000"</f>
        <v>00000000</v>
      </c>
      <c r="I3389" t="s">
        <v>35</v>
      </c>
      <c r="J3389"/>
      <c r="K3389">
        <v>7.97</v>
      </c>
      <c r="L3389">
        <v>0.0</v>
      </c>
      <c r="M3389"/>
      <c r="N3389"/>
      <c r="O3389">
        <v>1.43</v>
      </c>
      <c r="P3389">
        <v>0.0</v>
      </c>
      <c r="Q3389">
        <v>9.4</v>
      </c>
      <c r="R3389"/>
      <c r="S3389"/>
      <c r="T3389"/>
      <c r="U3389"/>
      <c r="V3389"/>
      <c r="W3389">
        <v>18</v>
      </c>
    </row>
    <row r="3390" spans="1:23">
      <c r="A3390"/>
      <c r="B3390" t="s">
        <v>84</v>
      </c>
      <c r="C3390" t="s">
        <v>84</v>
      </c>
      <c r="D3390" t="s">
        <v>33</v>
      </c>
      <c r="E3390" t="s">
        <v>34</v>
      </c>
      <c r="F3390" t="str">
        <f>"0003687"</f>
        <v>0003687</v>
      </c>
      <c r="G3390">
        <v>1</v>
      </c>
      <c r="H3390" t="str">
        <f>"00000000"</f>
        <v>00000000</v>
      </c>
      <c r="I3390" t="s">
        <v>35</v>
      </c>
      <c r="J3390"/>
      <c r="K3390">
        <v>7.64</v>
      </c>
      <c r="L3390">
        <v>0.0</v>
      </c>
      <c r="M3390"/>
      <c r="N3390"/>
      <c r="O3390">
        <v>1.38</v>
      </c>
      <c r="P3390">
        <v>0.2</v>
      </c>
      <c r="Q3390">
        <v>9.22</v>
      </c>
      <c r="R3390"/>
      <c r="S3390"/>
      <c r="T3390"/>
      <c r="U3390"/>
      <c r="V3390"/>
      <c r="W3390">
        <v>18</v>
      </c>
    </row>
    <row r="3391" spans="1:23">
      <c r="A3391"/>
      <c r="B3391" t="s">
        <v>84</v>
      </c>
      <c r="C3391" t="s">
        <v>84</v>
      </c>
      <c r="D3391" t="s">
        <v>33</v>
      </c>
      <c r="E3391" t="s">
        <v>34</v>
      </c>
      <c r="F3391" t="str">
        <f>"0003688"</f>
        <v>0003688</v>
      </c>
      <c r="G3391">
        <v>1</v>
      </c>
      <c r="H3391" t="str">
        <f>"00000000"</f>
        <v>00000000</v>
      </c>
      <c r="I3391" t="s">
        <v>35</v>
      </c>
      <c r="J3391"/>
      <c r="K3391">
        <v>12.63</v>
      </c>
      <c r="L3391">
        <v>0.0</v>
      </c>
      <c r="M3391"/>
      <c r="N3391"/>
      <c r="O3391">
        <v>2.27</v>
      </c>
      <c r="P3391">
        <v>0.0</v>
      </c>
      <c r="Q3391">
        <v>14.9</v>
      </c>
      <c r="R3391"/>
      <c r="S3391"/>
      <c r="T3391"/>
      <c r="U3391"/>
      <c r="V3391"/>
      <c r="W3391">
        <v>18</v>
      </c>
    </row>
    <row r="3392" spans="1:23">
      <c r="A3392"/>
      <c r="B3392" t="s">
        <v>84</v>
      </c>
      <c r="C3392" t="s">
        <v>84</v>
      </c>
      <c r="D3392" t="s">
        <v>33</v>
      </c>
      <c r="E3392" t="s">
        <v>34</v>
      </c>
      <c r="F3392" t="str">
        <f>"0003689"</f>
        <v>0003689</v>
      </c>
      <c r="G3392">
        <v>1</v>
      </c>
      <c r="H3392" t="str">
        <f>"00000000"</f>
        <v>00000000</v>
      </c>
      <c r="I3392" t="s">
        <v>35</v>
      </c>
      <c r="J3392"/>
      <c r="K3392">
        <v>11.53</v>
      </c>
      <c r="L3392">
        <v>0.0</v>
      </c>
      <c r="M3392"/>
      <c r="N3392"/>
      <c r="O3392">
        <v>2.07</v>
      </c>
      <c r="P3392">
        <v>0.0</v>
      </c>
      <c r="Q3392">
        <v>13.6</v>
      </c>
      <c r="R3392"/>
      <c r="S3392"/>
      <c r="T3392"/>
      <c r="U3392"/>
      <c r="V3392"/>
      <c r="W3392">
        <v>18</v>
      </c>
    </row>
    <row r="3393" spans="1:23">
      <c r="A3393"/>
      <c r="B3393" t="s">
        <v>84</v>
      </c>
      <c r="C3393" t="s">
        <v>84</v>
      </c>
      <c r="D3393" t="s">
        <v>33</v>
      </c>
      <c r="E3393" t="s">
        <v>34</v>
      </c>
      <c r="F3393" t="str">
        <f>"0003690"</f>
        <v>0003690</v>
      </c>
      <c r="G3393">
        <v>1</v>
      </c>
      <c r="H3393" t="str">
        <f>"00000000"</f>
        <v>00000000</v>
      </c>
      <c r="I3393" t="s">
        <v>35</v>
      </c>
      <c r="J3393"/>
      <c r="K3393">
        <v>1.53</v>
      </c>
      <c r="L3393">
        <v>0.0</v>
      </c>
      <c r="M3393"/>
      <c r="N3393"/>
      <c r="O3393">
        <v>0.27</v>
      </c>
      <c r="P3393">
        <v>0.0</v>
      </c>
      <c r="Q3393">
        <v>1.8</v>
      </c>
      <c r="R3393"/>
      <c r="S3393"/>
      <c r="T3393"/>
      <c r="U3393"/>
      <c r="V3393"/>
      <c r="W3393">
        <v>18</v>
      </c>
    </row>
    <row r="3394" spans="1:23">
      <c r="A3394"/>
      <c r="B3394" t="s">
        <v>84</v>
      </c>
      <c r="C3394" t="s">
        <v>84</v>
      </c>
      <c r="D3394" t="s">
        <v>33</v>
      </c>
      <c r="E3394" t="s">
        <v>34</v>
      </c>
      <c r="F3394" t="str">
        <f>"0003691"</f>
        <v>0003691</v>
      </c>
      <c r="G3394">
        <v>1</v>
      </c>
      <c r="H3394" t="str">
        <f>"00000000"</f>
        <v>00000000</v>
      </c>
      <c r="I3394" t="s">
        <v>35</v>
      </c>
      <c r="J3394"/>
      <c r="K3394">
        <v>9.96</v>
      </c>
      <c r="L3394">
        <v>0.0</v>
      </c>
      <c r="M3394"/>
      <c r="N3394"/>
      <c r="O3394">
        <v>1.79</v>
      </c>
      <c r="P3394">
        <v>0.0</v>
      </c>
      <c r="Q3394">
        <v>11.75</v>
      </c>
      <c r="R3394"/>
      <c r="S3394"/>
      <c r="T3394"/>
      <c r="U3394"/>
      <c r="V3394"/>
      <c r="W3394">
        <v>18</v>
      </c>
    </row>
    <row r="3395" spans="1:23">
      <c r="A3395"/>
      <c r="B3395" t="s">
        <v>84</v>
      </c>
      <c r="C3395" t="s">
        <v>84</v>
      </c>
      <c r="D3395" t="s">
        <v>33</v>
      </c>
      <c r="E3395" t="s">
        <v>34</v>
      </c>
      <c r="F3395" t="str">
        <f>"0003692"</f>
        <v>0003692</v>
      </c>
      <c r="G3395">
        <v>1</v>
      </c>
      <c r="H3395" t="str">
        <f>"00000000"</f>
        <v>00000000</v>
      </c>
      <c r="I3395" t="s">
        <v>35</v>
      </c>
      <c r="J3395"/>
      <c r="K3395">
        <v>4.15</v>
      </c>
      <c r="L3395">
        <v>0.0</v>
      </c>
      <c r="M3395"/>
      <c r="N3395"/>
      <c r="O3395">
        <v>0.75</v>
      </c>
      <c r="P3395">
        <v>0.0</v>
      </c>
      <c r="Q3395">
        <v>4.9</v>
      </c>
      <c r="R3395"/>
      <c r="S3395"/>
      <c r="T3395"/>
      <c r="U3395"/>
      <c r="V3395"/>
      <c r="W3395">
        <v>18</v>
      </c>
    </row>
    <row r="3396" spans="1:23">
      <c r="A3396"/>
      <c r="B3396" t="s">
        <v>84</v>
      </c>
      <c r="C3396" t="s">
        <v>84</v>
      </c>
      <c r="D3396" t="s">
        <v>33</v>
      </c>
      <c r="E3396" t="s">
        <v>34</v>
      </c>
      <c r="F3396" t="str">
        <f>"0003693"</f>
        <v>0003693</v>
      </c>
      <c r="G3396">
        <v>1</v>
      </c>
      <c r="H3396" t="str">
        <f>"00000000"</f>
        <v>00000000</v>
      </c>
      <c r="I3396" t="s">
        <v>35</v>
      </c>
      <c r="J3396"/>
      <c r="K3396">
        <v>5.61</v>
      </c>
      <c r="L3396">
        <v>0.0</v>
      </c>
      <c r="M3396"/>
      <c r="N3396"/>
      <c r="O3396">
        <v>1.01</v>
      </c>
      <c r="P3396">
        <v>0.2</v>
      </c>
      <c r="Q3396">
        <v>6.82</v>
      </c>
      <c r="R3396"/>
      <c r="S3396"/>
      <c r="T3396"/>
      <c r="U3396"/>
      <c r="V3396"/>
      <c r="W3396">
        <v>18</v>
      </c>
    </row>
    <row r="3397" spans="1:23">
      <c r="A3397"/>
      <c r="B3397" t="s">
        <v>84</v>
      </c>
      <c r="C3397" t="s">
        <v>84</v>
      </c>
      <c r="D3397" t="s">
        <v>33</v>
      </c>
      <c r="E3397" t="s">
        <v>34</v>
      </c>
      <c r="F3397" t="str">
        <f>"0003694"</f>
        <v>0003694</v>
      </c>
      <c r="G3397">
        <v>1</v>
      </c>
      <c r="H3397" t="str">
        <f>"00000000"</f>
        <v>00000000</v>
      </c>
      <c r="I3397" t="s">
        <v>35</v>
      </c>
      <c r="J3397"/>
      <c r="K3397">
        <v>58.5</v>
      </c>
      <c r="L3397">
        <v>12.61</v>
      </c>
      <c r="M3397"/>
      <c r="N3397"/>
      <c r="O3397">
        <v>10.53</v>
      </c>
      <c r="P3397">
        <v>0.2</v>
      </c>
      <c r="Q3397">
        <v>81.85</v>
      </c>
      <c r="R3397"/>
      <c r="S3397"/>
      <c r="T3397"/>
      <c r="U3397"/>
      <c r="V3397"/>
      <c r="W3397">
        <v>18</v>
      </c>
    </row>
    <row r="3398" spans="1:23">
      <c r="A3398"/>
      <c r="B3398" t="s">
        <v>84</v>
      </c>
      <c r="C3398" t="s">
        <v>84</v>
      </c>
      <c r="D3398" t="s">
        <v>33</v>
      </c>
      <c r="E3398" t="s">
        <v>34</v>
      </c>
      <c r="F3398" t="str">
        <f>"0003695"</f>
        <v>0003695</v>
      </c>
      <c r="G3398">
        <v>1</v>
      </c>
      <c r="H3398" t="str">
        <f>"00000000"</f>
        <v>00000000</v>
      </c>
      <c r="I3398" t="s">
        <v>35</v>
      </c>
      <c r="J3398"/>
      <c r="K3398">
        <v>4.59</v>
      </c>
      <c r="L3398">
        <v>10.45</v>
      </c>
      <c r="M3398"/>
      <c r="N3398"/>
      <c r="O3398">
        <v>0.83</v>
      </c>
      <c r="P3398">
        <v>0.2</v>
      </c>
      <c r="Q3398">
        <v>16.08</v>
      </c>
      <c r="R3398"/>
      <c r="S3398"/>
      <c r="T3398"/>
      <c r="U3398"/>
      <c r="V3398"/>
      <c r="W3398">
        <v>18</v>
      </c>
    </row>
    <row r="3399" spans="1:23">
      <c r="A3399"/>
      <c r="B3399" t="s">
        <v>84</v>
      </c>
      <c r="C3399" t="s">
        <v>84</v>
      </c>
      <c r="D3399" t="s">
        <v>33</v>
      </c>
      <c r="E3399" t="s">
        <v>34</v>
      </c>
      <c r="F3399" t="str">
        <f>"0003696"</f>
        <v>0003696</v>
      </c>
      <c r="G3399">
        <v>1</v>
      </c>
      <c r="H3399" t="str">
        <f>"00000000"</f>
        <v>00000000</v>
      </c>
      <c r="I3399" t="s">
        <v>35</v>
      </c>
      <c r="J3399"/>
      <c r="K3399">
        <v>1.53</v>
      </c>
      <c r="L3399">
        <v>0.0</v>
      </c>
      <c r="M3399"/>
      <c r="N3399"/>
      <c r="O3399">
        <v>0.27</v>
      </c>
      <c r="P3399">
        <v>0.0</v>
      </c>
      <c r="Q3399">
        <v>1.8</v>
      </c>
      <c r="R3399"/>
      <c r="S3399"/>
      <c r="T3399"/>
      <c r="U3399"/>
      <c r="V3399"/>
      <c r="W3399">
        <v>18</v>
      </c>
    </row>
    <row r="3400" spans="1:23">
      <c r="A3400"/>
      <c r="B3400" t="s">
        <v>84</v>
      </c>
      <c r="C3400" t="s">
        <v>84</v>
      </c>
      <c r="D3400" t="s">
        <v>33</v>
      </c>
      <c r="E3400" t="s">
        <v>34</v>
      </c>
      <c r="F3400" t="str">
        <f>"0003697"</f>
        <v>0003697</v>
      </c>
      <c r="G3400">
        <v>1</v>
      </c>
      <c r="H3400" t="str">
        <f>"00000000"</f>
        <v>00000000</v>
      </c>
      <c r="I3400" t="s">
        <v>35</v>
      </c>
      <c r="J3400"/>
      <c r="K3400">
        <v>5.51</v>
      </c>
      <c r="L3400">
        <v>14.97</v>
      </c>
      <c r="M3400"/>
      <c r="N3400"/>
      <c r="O3400">
        <v>0.99</v>
      </c>
      <c r="P3400">
        <v>0.0</v>
      </c>
      <c r="Q3400">
        <v>21.47</v>
      </c>
      <c r="R3400"/>
      <c r="S3400"/>
      <c r="T3400"/>
      <c r="U3400"/>
      <c r="V3400"/>
      <c r="W3400">
        <v>18</v>
      </c>
    </row>
    <row r="3401" spans="1:23">
      <c r="A3401"/>
      <c r="B3401" t="s">
        <v>84</v>
      </c>
      <c r="C3401" t="s">
        <v>84</v>
      </c>
      <c r="D3401" t="s">
        <v>33</v>
      </c>
      <c r="E3401" t="s">
        <v>34</v>
      </c>
      <c r="F3401" t="str">
        <f>"0003698"</f>
        <v>0003698</v>
      </c>
      <c r="G3401">
        <v>1</v>
      </c>
      <c r="H3401" t="str">
        <f>"00000000"</f>
        <v>00000000</v>
      </c>
      <c r="I3401" t="s">
        <v>35</v>
      </c>
      <c r="J3401"/>
      <c r="K3401">
        <v>0.0</v>
      </c>
      <c r="L3401">
        <v>2.95</v>
      </c>
      <c r="M3401"/>
      <c r="N3401"/>
      <c r="O3401">
        <v>0.0</v>
      </c>
      <c r="P3401">
        <v>0.0</v>
      </c>
      <c r="Q3401">
        <v>2.95</v>
      </c>
      <c r="R3401"/>
      <c r="S3401"/>
      <c r="T3401"/>
      <c r="U3401"/>
      <c r="V3401"/>
      <c r="W3401">
        <v>18</v>
      </c>
    </row>
    <row r="3402" spans="1:23">
      <c r="A3402"/>
      <c r="B3402" t="s">
        <v>84</v>
      </c>
      <c r="C3402" t="s">
        <v>84</v>
      </c>
      <c r="D3402" t="s">
        <v>33</v>
      </c>
      <c r="E3402" t="s">
        <v>34</v>
      </c>
      <c r="F3402" t="str">
        <f>"0003699"</f>
        <v>0003699</v>
      </c>
      <c r="G3402">
        <v>1</v>
      </c>
      <c r="H3402" t="str">
        <f>"00000000"</f>
        <v>00000000</v>
      </c>
      <c r="I3402" t="s">
        <v>35</v>
      </c>
      <c r="J3402"/>
      <c r="K3402">
        <v>3.14</v>
      </c>
      <c r="L3402">
        <v>0.0</v>
      </c>
      <c r="M3402"/>
      <c r="N3402"/>
      <c r="O3402">
        <v>0.56</v>
      </c>
      <c r="P3402">
        <v>0.0</v>
      </c>
      <c r="Q3402">
        <v>3.7</v>
      </c>
      <c r="R3402"/>
      <c r="S3402"/>
      <c r="T3402"/>
      <c r="U3402"/>
      <c r="V3402"/>
      <c r="W3402">
        <v>18</v>
      </c>
    </row>
    <row r="3403" spans="1:23">
      <c r="A3403"/>
      <c r="B3403" t="s">
        <v>84</v>
      </c>
      <c r="C3403" t="s">
        <v>84</v>
      </c>
      <c r="D3403" t="s">
        <v>33</v>
      </c>
      <c r="E3403" t="s">
        <v>34</v>
      </c>
      <c r="F3403" t="str">
        <f>"0003700"</f>
        <v>0003700</v>
      </c>
      <c r="G3403">
        <v>1</v>
      </c>
      <c r="H3403" t="str">
        <f>"00000000"</f>
        <v>00000000</v>
      </c>
      <c r="I3403" t="s">
        <v>35</v>
      </c>
      <c r="J3403"/>
      <c r="K3403">
        <v>34.73</v>
      </c>
      <c r="L3403">
        <v>27.9</v>
      </c>
      <c r="M3403"/>
      <c r="N3403"/>
      <c r="O3403">
        <v>6.25</v>
      </c>
      <c r="P3403">
        <v>0.0</v>
      </c>
      <c r="Q3403">
        <v>68.88</v>
      </c>
      <c r="R3403"/>
      <c r="S3403"/>
      <c r="T3403"/>
      <c r="U3403"/>
      <c r="V3403"/>
      <c r="W3403">
        <v>18</v>
      </c>
    </row>
    <row r="3404" spans="1:23">
      <c r="A3404"/>
      <c r="B3404" t="s">
        <v>84</v>
      </c>
      <c r="C3404" t="s">
        <v>84</v>
      </c>
      <c r="D3404" t="s">
        <v>33</v>
      </c>
      <c r="E3404" t="s">
        <v>34</v>
      </c>
      <c r="F3404" t="str">
        <f>"0003701"</f>
        <v>0003701</v>
      </c>
      <c r="G3404">
        <v>1</v>
      </c>
      <c r="H3404" t="str">
        <f>"00000000"</f>
        <v>00000000</v>
      </c>
      <c r="I3404" t="s">
        <v>35</v>
      </c>
      <c r="J3404"/>
      <c r="K3404">
        <v>0.02</v>
      </c>
      <c r="L3404">
        <v>0.0</v>
      </c>
      <c r="M3404"/>
      <c r="N3404"/>
      <c r="O3404">
        <v>0.0</v>
      </c>
      <c r="P3404">
        <v>0.2</v>
      </c>
      <c r="Q3404">
        <v>0.22</v>
      </c>
      <c r="R3404"/>
      <c r="S3404"/>
      <c r="T3404"/>
      <c r="U3404"/>
      <c r="V3404"/>
      <c r="W3404">
        <v>18</v>
      </c>
    </row>
    <row r="3405" spans="1:23">
      <c r="A3405"/>
      <c r="B3405" t="s">
        <v>84</v>
      </c>
      <c r="C3405" t="s">
        <v>84</v>
      </c>
      <c r="D3405" t="s">
        <v>33</v>
      </c>
      <c r="E3405" t="s">
        <v>34</v>
      </c>
      <c r="F3405" t="str">
        <f>"0003702"</f>
        <v>0003702</v>
      </c>
      <c r="G3405">
        <v>1</v>
      </c>
      <c r="H3405" t="str">
        <f>"00000000"</f>
        <v>00000000</v>
      </c>
      <c r="I3405" t="s">
        <v>35</v>
      </c>
      <c r="J3405"/>
      <c r="K3405">
        <v>2.46</v>
      </c>
      <c r="L3405">
        <v>0.0</v>
      </c>
      <c r="M3405"/>
      <c r="N3405"/>
      <c r="O3405">
        <v>0.44</v>
      </c>
      <c r="P3405">
        <v>0.0</v>
      </c>
      <c r="Q3405">
        <v>2.9</v>
      </c>
      <c r="R3405"/>
      <c r="S3405"/>
      <c r="T3405"/>
      <c r="U3405"/>
      <c r="V3405"/>
      <c r="W3405">
        <v>18</v>
      </c>
    </row>
    <row r="3406" spans="1:23">
      <c r="A3406"/>
      <c r="B3406" t="s">
        <v>84</v>
      </c>
      <c r="C3406" t="s">
        <v>84</v>
      </c>
      <c r="D3406" t="s">
        <v>33</v>
      </c>
      <c r="E3406" t="s">
        <v>34</v>
      </c>
      <c r="F3406" t="str">
        <f>"0003703"</f>
        <v>0003703</v>
      </c>
      <c r="G3406">
        <v>1</v>
      </c>
      <c r="H3406" t="str">
        <f>"00000000"</f>
        <v>00000000</v>
      </c>
      <c r="I3406" t="s">
        <v>35</v>
      </c>
      <c r="J3406"/>
      <c r="K3406">
        <v>37.67</v>
      </c>
      <c r="L3406">
        <v>17.05</v>
      </c>
      <c r="M3406"/>
      <c r="N3406"/>
      <c r="O3406">
        <v>6.78</v>
      </c>
      <c r="P3406">
        <v>0.2</v>
      </c>
      <c r="Q3406">
        <v>61.71</v>
      </c>
      <c r="R3406"/>
      <c r="S3406"/>
      <c r="T3406"/>
      <c r="U3406"/>
      <c r="V3406"/>
      <c r="W3406">
        <v>18</v>
      </c>
    </row>
    <row r="3407" spans="1:23">
      <c r="A3407"/>
      <c r="B3407" t="s">
        <v>84</v>
      </c>
      <c r="C3407" t="s">
        <v>84</v>
      </c>
      <c r="D3407" t="s">
        <v>33</v>
      </c>
      <c r="E3407" t="s">
        <v>34</v>
      </c>
      <c r="F3407" t="str">
        <f>"0003704"</f>
        <v>0003704</v>
      </c>
      <c r="G3407">
        <v>1</v>
      </c>
      <c r="H3407" t="str">
        <f>"00000000"</f>
        <v>00000000</v>
      </c>
      <c r="I3407" t="s">
        <v>35</v>
      </c>
      <c r="J3407"/>
      <c r="K3407">
        <v>7.72</v>
      </c>
      <c r="L3407">
        <v>0.0</v>
      </c>
      <c r="M3407"/>
      <c r="N3407"/>
      <c r="O3407">
        <v>1.39</v>
      </c>
      <c r="P3407">
        <v>0.0</v>
      </c>
      <c r="Q3407">
        <v>9.1</v>
      </c>
      <c r="R3407"/>
      <c r="S3407"/>
      <c r="T3407"/>
      <c r="U3407"/>
      <c r="V3407"/>
      <c r="W3407">
        <v>18</v>
      </c>
    </row>
    <row r="3408" spans="1:23">
      <c r="A3408"/>
      <c r="B3408" t="s">
        <v>84</v>
      </c>
      <c r="C3408" t="s">
        <v>84</v>
      </c>
      <c r="D3408" t="s">
        <v>33</v>
      </c>
      <c r="E3408" t="s">
        <v>34</v>
      </c>
      <c r="F3408" t="str">
        <f>"0003705"</f>
        <v>0003705</v>
      </c>
      <c r="G3408">
        <v>1</v>
      </c>
      <c r="H3408" t="str">
        <f>"00000000"</f>
        <v>00000000</v>
      </c>
      <c r="I3408" t="s">
        <v>35</v>
      </c>
      <c r="J3408"/>
      <c r="K3408">
        <v>5.06</v>
      </c>
      <c r="L3408">
        <v>6.57</v>
      </c>
      <c r="M3408"/>
      <c r="N3408"/>
      <c r="O3408">
        <v>0.91</v>
      </c>
      <c r="P3408">
        <v>0.0</v>
      </c>
      <c r="Q3408">
        <v>12.54</v>
      </c>
      <c r="R3408"/>
      <c r="S3408"/>
      <c r="T3408"/>
      <c r="U3408"/>
      <c r="V3408"/>
      <c r="W3408">
        <v>18</v>
      </c>
    </row>
    <row r="3409" spans="1:23">
      <c r="A3409"/>
      <c r="B3409" t="s">
        <v>84</v>
      </c>
      <c r="C3409" t="s">
        <v>84</v>
      </c>
      <c r="D3409" t="s">
        <v>33</v>
      </c>
      <c r="E3409" t="s">
        <v>34</v>
      </c>
      <c r="F3409" t="str">
        <f>"0003706"</f>
        <v>0003706</v>
      </c>
      <c r="G3409">
        <v>1</v>
      </c>
      <c r="H3409" t="str">
        <f>"00000000"</f>
        <v>00000000</v>
      </c>
      <c r="I3409" t="s">
        <v>35</v>
      </c>
      <c r="J3409"/>
      <c r="K3409">
        <v>39.71</v>
      </c>
      <c r="L3409">
        <v>12.51</v>
      </c>
      <c r="M3409"/>
      <c r="N3409"/>
      <c r="O3409">
        <v>7.15</v>
      </c>
      <c r="P3409">
        <v>0.0</v>
      </c>
      <c r="Q3409">
        <v>59.37</v>
      </c>
      <c r="R3409"/>
      <c r="S3409"/>
      <c r="T3409"/>
      <c r="U3409"/>
      <c r="V3409"/>
      <c r="W3409">
        <v>18</v>
      </c>
    </row>
    <row r="3410" spans="1:23">
      <c r="A3410"/>
      <c r="B3410" t="s">
        <v>84</v>
      </c>
      <c r="C3410" t="s">
        <v>84</v>
      </c>
      <c r="D3410" t="s">
        <v>33</v>
      </c>
      <c r="E3410" t="s">
        <v>34</v>
      </c>
      <c r="F3410" t="str">
        <f>"0003707"</f>
        <v>0003707</v>
      </c>
      <c r="G3410">
        <v>1</v>
      </c>
      <c r="H3410" t="str">
        <f>"00000000"</f>
        <v>00000000</v>
      </c>
      <c r="I3410" t="s">
        <v>35</v>
      </c>
      <c r="J3410"/>
      <c r="K3410">
        <v>3.39</v>
      </c>
      <c r="L3410">
        <v>0.0</v>
      </c>
      <c r="M3410"/>
      <c r="N3410"/>
      <c r="O3410">
        <v>0.61</v>
      </c>
      <c r="P3410">
        <v>0.0</v>
      </c>
      <c r="Q3410">
        <v>4.0</v>
      </c>
      <c r="R3410"/>
      <c r="S3410"/>
      <c r="T3410"/>
      <c r="U3410"/>
      <c r="V3410"/>
      <c r="W3410">
        <v>18</v>
      </c>
    </row>
    <row r="3411" spans="1:23">
      <c r="A3411"/>
      <c r="B3411" t="s">
        <v>84</v>
      </c>
      <c r="C3411" t="s">
        <v>84</v>
      </c>
      <c r="D3411" t="s">
        <v>33</v>
      </c>
      <c r="E3411" t="s">
        <v>34</v>
      </c>
      <c r="F3411" t="str">
        <f>"0003708"</f>
        <v>0003708</v>
      </c>
      <c r="G3411">
        <v>1</v>
      </c>
      <c r="H3411" t="str">
        <f>"00000000"</f>
        <v>00000000</v>
      </c>
      <c r="I3411" t="s">
        <v>35</v>
      </c>
      <c r="J3411"/>
      <c r="K3411">
        <v>8.75</v>
      </c>
      <c r="L3411">
        <v>0.0</v>
      </c>
      <c r="M3411"/>
      <c r="N3411"/>
      <c r="O3411">
        <v>1.57</v>
      </c>
      <c r="P3411">
        <v>0.2</v>
      </c>
      <c r="Q3411">
        <v>10.52</v>
      </c>
      <c r="R3411"/>
      <c r="S3411"/>
      <c r="T3411"/>
      <c r="U3411"/>
      <c r="V3411"/>
      <c r="W3411">
        <v>18</v>
      </c>
    </row>
    <row r="3412" spans="1:23">
      <c r="A3412"/>
      <c r="B3412" t="s">
        <v>84</v>
      </c>
      <c r="C3412" t="s">
        <v>84</v>
      </c>
      <c r="D3412" t="s">
        <v>33</v>
      </c>
      <c r="E3412" t="s">
        <v>34</v>
      </c>
      <c r="F3412" t="str">
        <f>"0003709"</f>
        <v>0003709</v>
      </c>
      <c r="G3412">
        <v>1</v>
      </c>
      <c r="H3412" t="str">
        <f>"00000000"</f>
        <v>00000000</v>
      </c>
      <c r="I3412" t="s">
        <v>35</v>
      </c>
      <c r="J3412"/>
      <c r="K3412">
        <v>148.01</v>
      </c>
      <c r="L3412">
        <v>7.51</v>
      </c>
      <c r="M3412"/>
      <c r="N3412"/>
      <c r="O3412">
        <v>26.64</v>
      </c>
      <c r="P3412">
        <v>0.4</v>
      </c>
      <c r="Q3412">
        <v>182.55</v>
      </c>
      <c r="R3412"/>
      <c r="S3412"/>
      <c r="T3412"/>
      <c r="U3412"/>
      <c r="V3412"/>
      <c r="W3412">
        <v>18</v>
      </c>
    </row>
    <row r="3413" spans="1:23">
      <c r="A3413"/>
      <c r="B3413" t="s">
        <v>84</v>
      </c>
      <c r="C3413" t="s">
        <v>84</v>
      </c>
      <c r="D3413" t="s">
        <v>33</v>
      </c>
      <c r="E3413" t="s">
        <v>34</v>
      </c>
      <c r="F3413" t="str">
        <f>"0003710"</f>
        <v>0003710</v>
      </c>
      <c r="G3413">
        <v>1</v>
      </c>
      <c r="H3413" t="str">
        <f>"00000000"</f>
        <v>00000000</v>
      </c>
      <c r="I3413" t="s">
        <v>35</v>
      </c>
      <c r="J3413"/>
      <c r="K3413">
        <v>14.65</v>
      </c>
      <c r="L3413">
        <v>0.0</v>
      </c>
      <c r="M3413"/>
      <c r="N3413"/>
      <c r="O3413">
        <v>2.64</v>
      </c>
      <c r="P3413">
        <v>0.2</v>
      </c>
      <c r="Q3413">
        <v>17.49</v>
      </c>
      <c r="R3413"/>
      <c r="S3413"/>
      <c r="T3413"/>
      <c r="U3413"/>
      <c r="V3413"/>
      <c r="W3413">
        <v>18</v>
      </c>
    </row>
    <row r="3414" spans="1:23">
      <c r="A3414"/>
      <c r="B3414" t="s">
        <v>84</v>
      </c>
      <c r="C3414" t="s">
        <v>84</v>
      </c>
      <c r="D3414" t="s">
        <v>33</v>
      </c>
      <c r="E3414" t="s">
        <v>34</v>
      </c>
      <c r="F3414" t="str">
        <f>"0003711"</f>
        <v>0003711</v>
      </c>
      <c r="G3414">
        <v>1</v>
      </c>
      <c r="H3414" t="str">
        <f>"00000000"</f>
        <v>00000000</v>
      </c>
      <c r="I3414" t="s">
        <v>35</v>
      </c>
      <c r="J3414"/>
      <c r="K3414">
        <v>49.51</v>
      </c>
      <c r="L3414">
        <v>9.86</v>
      </c>
      <c r="M3414"/>
      <c r="N3414"/>
      <c r="O3414">
        <v>8.91</v>
      </c>
      <c r="P3414">
        <v>0.2</v>
      </c>
      <c r="Q3414">
        <v>68.48</v>
      </c>
      <c r="R3414"/>
      <c r="S3414"/>
      <c r="T3414"/>
      <c r="U3414"/>
      <c r="V3414"/>
      <c r="W3414">
        <v>18</v>
      </c>
    </row>
    <row r="3415" spans="1:23">
      <c r="A3415"/>
      <c r="B3415" t="s">
        <v>84</v>
      </c>
      <c r="C3415" t="s">
        <v>84</v>
      </c>
      <c r="D3415" t="s">
        <v>33</v>
      </c>
      <c r="E3415" t="s">
        <v>34</v>
      </c>
      <c r="F3415" t="str">
        <f>"0003712"</f>
        <v>0003712</v>
      </c>
      <c r="G3415">
        <v>1</v>
      </c>
      <c r="H3415" t="str">
        <f>"00000000"</f>
        <v>00000000</v>
      </c>
      <c r="I3415" t="s">
        <v>35</v>
      </c>
      <c r="J3415"/>
      <c r="K3415">
        <v>8.07</v>
      </c>
      <c r="L3415">
        <v>0.0</v>
      </c>
      <c r="M3415"/>
      <c r="N3415"/>
      <c r="O3415">
        <v>1.45</v>
      </c>
      <c r="P3415">
        <v>0.2</v>
      </c>
      <c r="Q3415">
        <v>9.72</v>
      </c>
      <c r="R3415"/>
      <c r="S3415"/>
      <c r="T3415"/>
      <c r="U3415"/>
      <c r="V3415"/>
      <c r="W3415">
        <v>18</v>
      </c>
    </row>
    <row r="3416" spans="1:23">
      <c r="A3416"/>
      <c r="B3416" t="s">
        <v>84</v>
      </c>
      <c r="C3416" t="s">
        <v>84</v>
      </c>
      <c r="D3416" t="s">
        <v>33</v>
      </c>
      <c r="E3416" t="s">
        <v>34</v>
      </c>
      <c r="F3416" t="str">
        <f>"0003713"</f>
        <v>0003713</v>
      </c>
      <c r="G3416">
        <v>1</v>
      </c>
      <c r="H3416" t="str">
        <f>"00000000"</f>
        <v>00000000</v>
      </c>
      <c r="I3416" t="s">
        <v>35</v>
      </c>
      <c r="J3416"/>
      <c r="K3416">
        <v>61.77</v>
      </c>
      <c r="L3416">
        <v>46.96</v>
      </c>
      <c r="M3416"/>
      <c r="N3416"/>
      <c r="O3416">
        <v>11.12</v>
      </c>
      <c r="P3416">
        <v>0.4</v>
      </c>
      <c r="Q3416">
        <v>120.25</v>
      </c>
      <c r="R3416"/>
      <c r="S3416"/>
      <c r="T3416"/>
      <c r="U3416"/>
      <c r="V3416"/>
      <c r="W3416">
        <v>18</v>
      </c>
    </row>
    <row r="3417" spans="1:23">
      <c r="A3417"/>
      <c r="B3417" t="s">
        <v>84</v>
      </c>
      <c r="C3417" t="s">
        <v>84</v>
      </c>
      <c r="D3417" t="s">
        <v>33</v>
      </c>
      <c r="E3417" t="s">
        <v>34</v>
      </c>
      <c r="F3417" t="str">
        <f>"0003714"</f>
        <v>0003714</v>
      </c>
      <c r="G3417">
        <v>1</v>
      </c>
      <c r="H3417" t="str">
        <f>"00000000"</f>
        <v>00000000</v>
      </c>
      <c r="I3417" t="s">
        <v>35</v>
      </c>
      <c r="J3417"/>
      <c r="K3417">
        <v>7.2</v>
      </c>
      <c r="L3417">
        <v>0.0</v>
      </c>
      <c r="M3417"/>
      <c r="N3417"/>
      <c r="O3417">
        <v>1.3</v>
      </c>
      <c r="P3417">
        <v>0.0</v>
      </c>
      <c r="Q3417">
        <v>8.5</v>
      </c>
      <c r="R3417"/>
      <c r="S3417"/>
      <c r="T3417"/>
      <c r="U3417"/>
      <c r="V3417"/>
      <c r="W3417">
        <v>18</v>
      </c>
    </row>
    <row r="3418" spans="1:23">
      <c r="A3418"/>
      <c r="B3418" t="s">
        <v>84</v>
      </c>
      <c r="C3418" t="s">
        <v>84</v>
      </c>
      <c r="D3418" t="s">
        <v>33</v>
      </c>
      <c r="E3418" t="s">
        <v>34</v>
      </c>
      <c r="F3418" t="str">
        <f>"0003715"</f>
        <v>0003715</v>
      </c>
      <c r="G3418">
        <v>1</v>
      </c>
      <c r="H3418" t="str">
        <f>"00000000"</f>
        <v>00000000</v>
      </c>
      <c r="I3418" t="s">
        <v>35</v>
      </c>
      <c r="J3418"/>
      <c r="K3418">
        <v>7.63</v>
      </c>
      <c r="L3418">
        <v>0.0</v>
      </c>
      <c r="M3418"/>
      <c r="N3418"/>
      <c r="O3418">
        <v>1.37</v>
      </c>
      <c r="P3418">
        <v>0.0</v>
      </c>
      <c r="Q3418">
        <v>9.0</v>
      </c>
      <c r="R3418"/>
      <c r="S3418"/>
      <c r="T3418"/>
      <c r="U3418"/>
      <c r="V3418"/>
      <c r="W3418">
        <v>18</v>
      </c>
    </row>
    <row r="3419" spans="1:23">
      <c r="A3419"/>
      <c r="B3419" t="s">
        <v>84</v>
      </c>
      <c r="C3419" t="s">
        <v>84</v>
      </c>
      <c r="D3419" t="s">
        <v>33</v>
      </c>
      <c r="E3419" t="s">
        <v>34</v>
      </c>
      <c r="F3419" t="str">
        <f>"0003716"</f>
        <v>0003716</v>
      </c>
      <c r="G3419">
        <v>1</v>
      </c>
      <c r="H3419" t="str">
        <f>"00000000"</f>
        <v>00000000</v>
      </c>
      <c r="I3419" t="s">
        <v>35</v>
      </c>
      <c r="J3419"/>
      <c r="K3419">
        <v>2.21</v>
      </c>
      <c r="L3419">
        <v>3.53</v>
      </c>
      <c r="M3419"/>
      <c r="N3419"/>
      <c r="O3419">
        <v>0.4</v>
      </c>
      <c r="P3419">
        <v>0.0</v>
      </c>
      <c r="Q3419">
        <v>6.15</v>
      </c>
      <c r="R3419"/>
      <c r="S3419"/>
      <c r="T3419"/>
      <c r="U3419"/>
      <c r="V3419"/>
      <c r="W3419">
        <v>18</v>
      </c>
    </row>
    <row r="3420" spans="1:23">
      <c r="A3420"/>
      <c r="B3420" t="s">
        <v>84</v>
      </c>
      <c r="C3420" t="s">
        <v>84</v>
      </c>
      <c r="D3420" t="s">
        <v>33</v>
      </c>
      <c r="E3420" t="s">
        <v>34</v>
      </c>
      <c r="F3420" t="str">
        <f>"0003717"</f>
        <v>0003717</v>
      </c>
      <c r="G3420">
        <v>1</v>
      </c>
      <c r="H3420" t="str">
        <f>"00000000"</f>
        <v>00000000</v>
      </c>
      <c r="I3420" t="s">
        <v>35</v>
      </c>
      <c r="J3420"/>
      <c r="K3420">
        <v>3.08</v>
      </c>
      <c r="L3420">
        <v>0.0</v>
      </c>
      <c r="M3420"/>
      <c r="N3420"/>
      <c r="O3420">
        <v>0.56</v>
      </c>
      <c r="P3420">
        <v>0.0</v>
      </c>
      <c r="Q3420">
        <v>3.64</v>
      </c>
      <c r="R3420"/>
      <c r="S3420"/>
      <c r="T3420"/>
      <c r="U3420"/>
      <c r="V3420"/>
      <c r="W3420">
        <v>18</v>
      </c>
    </row>
    <row r="3421" spans="1:23">
      <c r="A3421"/>
      <c r="B3421" t="s">
        <v>84</v>
      </c>
      <c r="C3421" t="s">
        <v>84</v>
      </c>
      <c r="D3421" t="s">
        <v>33</v>
      </c>
      <c r="E3421" t="s">
        <v>34</v>
      </c>
      <c r="F3421" t="str">
        <f>"0003718"</f>
        <v>0003718</v>
      </c>
      <c r="G3421">
        <v>1</v>
      </c>
      <c r="H3421" t="str">
        <f>"00000000"</f>
        <v>00000000</v>
      </c>
      <c r="I3421" t="s">
        <v>35</v>
      </c>
      <c r="J3421"/>
      <c r="K3421">
        <v>1.86</v>
      </c>
      <c r="L3421">
        <v>0.0</v>
      </c>
      <c r="M3421"/>
      <c r="N3421"/>
      <c r="O3421">
        <v>0.34</v>
      </c>
      <c r="P3421">
        <v>0.0</v>
      </c>
      <c r="Q3421">
        <v>2.2</v>
      </c>
      <c r="R3421"/>
      <c r="S3421"/>
      <c r="T3421"/>
      <c r="U3421"/>
      <c r="V3421"/>
      <c r="W3421">
        <v>18</v>
      </c>
    </row>
    <row r="3422" spans="1:23">
      <c r="A3422"/>
      <c r="B3422" t="s">
        <v>84</v>
      </c>
      <c r="C3422" t="s">
        <v>84</v>
      </c>
      <c r="D3422" t="s">
        <v>33</v>
      </c>
      <c r="E3422" t="s">
        <v>34</v>
      </c>
      <c r="F3422" t="str">
        <f>"0003719"</f>
        <v>0003719</v>
      </c>
      <c r="G3422">
        <v>1</v>
      </c>
      <c r="H3422" t="str">
        <f>"00000000"</f>
        <v>00000000</v>
      </c>
      <c r="I3422" t="s">
        <v>35</v>
      </c>
      <c r="J3422"/>
      <c r="K3422">
        <v>8.47</v>
      </c>
      <c r="L3422">
        <v>0.0</v>
      </c>
      <c r="M3422"/>
      <c r="N3422"/>
      <c r="O3422">
        <v>1.53</v>
      </c>
      <c r="P3422">
        <v>0.0</v>
      </c>
      <c r="Q3422">
        <v>10.0</v>
      </c>
      <c r="R3422"/>
      <c r="S3422"/>
      <c r="T3422"/>
      <c r="U3422"/>
      <c r="V3422"/>
      <c r="W3422">
        <v>18</v>
      </c>
    </row>
    <row r="3423" spans="1:23">
      <c r="A3423"/>
      <c r="B3423" t="s">
        <v>84</v>
      </c>
      <c r="C3423" t="s">
        <v>84</v>
      </c>
      <c r="D3423" t="s">
        <v>33</v>
      </c>
      <c r="E3423" t="s">
        <v>34</v>
      </c>
      <c r="F3423" t="str">
        <f>"0003720"</f>
        <v>0003720</v>
      </c>
      <c r="G3423">
        <v>1</v>
      </c>
      <c r="H3423" t="str">
        <f>"00000000"</f>
        <v>00000000</v>
      </c>
      <c r="I3423" t="s">
        <v>35</v>
      </c>
      <c r="J3423"/>
      <c r="K3423">
        <v>2.53</v>
      </c>
      <c r="L3423">
        <v>0.0</v>
      </c>
      <c r="M3423"/>
      <c r="N3423"/>
      <c r="O3423">
        <v>0.46</v>
      </c>
      <c r="P3423">
        <v>0.0</v>
      </c>
      <c r="Q3423">
        <v>2.99</v>
      </c>
      <c r="R3423"/>
      <c r="S3423"/>
      <c r="T3423"/>
      <c r="U3423"/>
      <c r="V3423"/>
      <c r="W3423">
        <v>18</v>
      </c>
    </row>
    <row r="3424" spans="1:23">
      <c r="A3424"/>
      <c r="B3424" t="s">
        <v>84</v>
      </c>
      <c r="C3424" t="s">
        <v>84</v>
      </c>
      <c r="D3424" t="s">
        <v>33</v>
      </c>
      <c r="E3424" t="s">
        <v>34</v>
      </c>
      <c r="F3424" t="str">
        <f>"0003721"</f>
        <v>0003721</v>
      </c>
      <c r="G3424">
        <v>1</v>
      </c>
      <c r="H3424" t="str">
        <f>"00000000"</f>
        <v>00000000</v>
      </c>
      <c r="I3424" t="s">
        <v>35</v>
      </c>
      <c r="J3424"/>
      <c r="K3424">
        <v>13.13</v>
      </c>
      <c r="L3424">
        <v>28.9</v>
      </c>
      <c r="M3424"/>
      <c r="N3424"/>
      <c r="O3424">
        <v>2.36</v>
      </c>
      <c r="P3424">
        <v>0.0</v>
      </c>
      <c r="Q3424">
        <v>44.39</v>
      </c>
      <c r="R3424"/>
      <c r="S3424"/>
      <c r="T3424"/>
      <c r="U3424"/>
      <c r="V3424"/>
      <c r="W3424">
        <v>18</v>
      </c>
    </row>
    <row r="3425" spans="1:23">
      <c r="A3425"/>
      <c r="B3425" t="s">
        <v>84</v>
      </c>
      <c r="C3425" t="s">
        <v>84</v>
      </c>
      <c r="D3425" t="s">
        <v>33</v>
      </c>
      <c r="E3425" t="s">
        <v>34</v>
      </c>
      <c r="F3425" t="str">
        <f>"0003722"</f>
        <v>0003722</v>
      </c>
      <c r="G3425">
        <v>1</v>
      </c>
      <c r="H3425" t="str">
        <f>"00000000"</f>
        <v>00000000</v>
      </c>
      <c r="I3425" t="s">
        <v>35</v>
      </c>
      <c r="J3425"/>
      <c r="K3425">
        <v>0.02</v>
      </c>
      <c r="L3425">
        <v>16.29</v>
      </c>
      <c r="M3425"/>
      <c r="N3425"/>
      <c r="O3425">
        <v>0.0</v>
      </c>
      <c r="P3425">
        <v>0.2</v>
      </c>
      <c r="Q3425">
        <v>16.51</v>
      </c>
      <c r="R3425"/>
      <c r="S3425"/>
      <c r="T3425"/>
      <c r="U3425"/>
      <c r="V3425"/>
      <c r="W3425">
        <v>18</v>
      </c>
    </row>
    <row r="3426" spans="1:23">
      <c r="A3426"/>
      <c r="B3426" t="s">
        <v>84</v>
      </c>
      <c r="C3426" t="s">
        <v>84</v>
      </c>
      <c r="D3426" t="s">
        <v>33</v>
      </c>
      <c r="E3426" t="s">
        <v>34</v>
      </c>
      <c r="F3426" t="str">
        <f>"0003723"</f>
        <v>0003723</v>
      </c>
      <c r="G3426">
        <v>1</v>
      </c>
      <c r="H3426" t="str">
        <f>"00000000"</f>
        <v>00000000</v>
      </c>
      <c r="I3426" t="s">
        <v>35</v>
      </c>
      <c r="J3426"/>
      <c r="K3426">
        <v>15.15</v>
      </c>
      <c r="L3426">
        <v>1.21</v>
      </c>
      <c r="M3426"/>
      <c r="N3426"/>
      <c r="O3426">
        <v>2.73</v>
      </c>
      <c r="P3426">
        <v>0.0</v>
      </c>
      <c r="Q3426">
        <v>19.09</v>
      </c>
      <c r="R3426"/>
      <c r="S3426"/>
      <c r="T3426"/>
      <c r="U3426"/>
      <c r="V3426"/>
      <c r="W3426">
        <v>18</v>
      </c>
    </row>
    <row r="3427" spans="1:23">
      <c r="A3427"/>
      <c r="B3427" t="s">
        <v>84</v>
      </c>
      <c r="C3427" t="s">
        <v>84</v>
      </c>
      <c r="D3427" t="s">
        <v>33</v>
      </c>
      <c r="E3427" t="s">
        <v>34</v>
      </c>
      <c r="F3427" t="str">
        <f>"0003724"</f>
        <v>0003724</v>
      </c>
      <c r="G3427">
        <v>1</v>
      </c>
      <c r="H3427" t="str">
        <f>"00000000"</f>
        <v>00000000</v>
      </c>
      <c r="I3427" t="s">
        <v>35</v>
      </c>
      <c r="J3427"/>
      <c r="K3427">
        <v>1.86</v>
      </c>
      <c r="L3427">
        <v>0.0</v>
      </c>
      <c r="M3427"/>
      <c r="N3427"/>
      <c r="O3427">
        <v>0.34</v>
      </c>
      <c r="P3427">
        <v>0.0</v>
      </c>
      <c r="Q3427">
        <v>2.2</v>
      </c>
      <c r="R3427"/>
      <c r="S3427"/>
      <c r="T3427"/>
      <c r="U3427"/>
      <c r="V3427"/>
      <c r="W3427">
        <v>18</v>
      </c>
    </row>
    <row r="3428" spans="1:23">
      <c r="A3428"/>
      <c r="B3428" t="s">
        <v>84</v>
      </c>
      <c r="C3428" t="s">
        <v>84</v>
      </c>
      <c r="D3428" t="s">
        <v>33</v>
      </c>
      <c r="E3428" t="s">
        <v>34</v>
      </c>
      <c r="F3428" t="str">
        <f>"0003725"</f>
        <v>0003725</v>
      </c>
      <c r="G3428">
        <v>1</v>
      </c>
      <c r="H3428" t="str">
        <f>"00000000"</f>
        <v>00000000</v>
      </c>
      <c r="I3428" t="s">
        <v>35</v>
      </c>
      <c r="J3428"/>
      <c r="K3428">
        <v>12.63</v>
      </c>
      <c r="L3428">
        <v>0.0</v>
      </c>
      <c r="M3428"/>
      <c r="N3428"/>
      <c r="O3428">
        <v>2.27</v>
      </c>
      <c r="P3428">
        <v>0.0</v>
      </c>
      <c r="Q3428">
        <v>14.9</v>
      </c>
      <c r="R3428"/>
      <c r="S3428"/>
      <c r="T3428"/>
      <c r="U3428"/>
      <c r="V3428"/>
      <c r="W3428">
        <v>18</v>
      </c>
    </row>
    <row r="3429" spans="1:23">
      <c r="A3429"/>
      <c r="B3429" t="s">
        <v>84</v>
      </c>
      <c r="C3429" t="s">
        <v>84</v>
      </c>
      <c r="D3429" t="s">
        <v>33</v>
      </c>
      <c r="E3429" t="s">
        <v>34</v>
      </c>
      <c r="F3429" t="str">
        <f>"0003726"</f>
        <v>0003726</v>
      </c>
      <c r="G3429">
        <v>1</v>
      </c>
      <c r="H3429" t="str">
        <f>"00000000"</f>
        <v>00000000</v>
      </c>
      <c r="I3429" t="s">
        <v>35</v>
      </c>
      <c r="J3429"/>
      <c r="K3429">
        <v>11.44</v>
      </c>
      <c r="L3429">
        <v>0.0</v>
      </c>
      <c r="M3429"/>
      <c r="N3429"/>
      <c r="O3429">
        <v>2.06</v>
      </c>
      <c r="P3429">
        <v>0.0</v>
      </c>
      <c r="Q3429">
        <v>13.5</v>
      </c>
      <c r="R3429"/>
      <c r="S3429"/>
      <c r="T3429"/>
      <c r="U3429"/>
      <c r="V3429"/>
      <c r="W3429">
        <v>18</v>
      </c>
    </row>
    <row r="3430" spans="1:23">
      <c r="A3430"/>
      <c r="B3430" t="s">
        <v>84</v>
      </c>
      <c r="C3430" t="s">
        <v>84</v>
      </c>
      <c r="D3430" t="s">
        <v>33</v>
      </c>
      <c r="E3430" t="s">
        <v>34</v>
      </c>
      <c r="F3430" t="str">
        <f>"0003727"</f>
        <v>0003727</v>
      </c>
      <c r="G3430">
        <v>1</v>
      </c>
      <c r="H3430" t="str">
        <f>"00000000"</f>
        <v>00000000</v>
      </c>
      <c r="I3430" t="s">
        <v>35</v>
      </c>
      <c r="J3430"/>
      <c r="K3430">
        <v>18.73</v>
      </c>
      <c r="L3430">
        <v>0.0</v>
      </c>
      <c r="M3430"/>
      <c r="N3430"/>
      <c r="O3430">
        <v>3.37</v>
      </c>
      <c r="P3430">
        <v>0.0</v>
      </c>
      <c r="Q3430">
        <v>22.1</v>
      </c>
      <c r="R3430"/>
      <c r="S3430"/>
      <c r="T3430"/>
      <c r="U3430"/>
      <c r="V3430"/>
      <c r="W3430">
        <v>18</v>
      </c>
    </row>
    <row r="3431" spans="1:23">
      <c r="A3431"/>
      <c r="B3431" t="s">
        <v>84</v>
      </c>
      <c r="C3431" t="s">
        <v>84</v>
      </c>
      <c r="D3431" t="s">
        <v>33</v>
      </c>
      <c r="E3431" t="s">
        <v>34</v>
      </c>
      <c r="F3431" t="str">
        <f>"0003728"</f>
        <v>0003728</v>
      </c>
      <c r="G3431">
        <v>1</v>
      </c>
      <c r="H3431" t="str">
        <f>"00000000"</f>
        <v>00000000</v>
      </c>
      <c r="I3431" t="s">
        <v>35</v>
      </c>
      <c r="J3431"/>
      <c r="K3431">
        <v>8.64</v>
      </c>
      <c r="L3431">
        <v>0.0</v>
      </c>
      <c r="M3431"/>
      <c r="N3431"/>
      <c r="O3431">
        <v>1.56</v>
      </c>
      <c r="P3431">
        <v>0.0</v>
      </c>
      <c r="Q3431">
        <v>10.2</v>
      </c>
      <c r="R3431"/>
      <c r="S3431"/>
      <c r="T3431"/>
      <c r="U3431"/>
      <c r="V3431"/>
      <c r="W3431">
        <v>18</v>
      </c>
    </row>
    <row r="3432" spans="1:23">
      <c r="A3432"/>
      <c r="B3432" t="s">
        <v>84</v>
      </c>
      <c r="C3432" t="s">
        <v>84</v>
      </c>
      <c r="D3432" t="s">
        <v>33</v>
      </c>
      <c r="E3432" t="s">
        <v>34</v>
      </c>
      <c r="F3432" t="str">
        <f>"0003729"</f>
        <v>0003729</v>
      </c>
      <c r="G3432">
        <v>1</v>
      </c>
      <c r="H3432" t="str">
        <f>"00000000"</f>
        <v>00000000</v>
      </c>
      <c r="I3432" t="s">
        <v>35</v>
      </c>
      <c r="J3432"/>
      <c r="K3432">
        <v>30.27</v>
      </c>
      <c r="L3432">
        <v>0.0</v>
      </c>
      <c r="M3432"/>
      <c r="N3432"/>
      <c r="O3432">
        <v>5.45</v>
      </c>
      <c r="P3432">
        <v>0.2</v>
      </c>
      <c r="Q3432">
        <v>35.92</v>
      </c>
      <c r="R3432"/>
      <c r="S3432"/>
      <c r="T3432"/>
      <c r="U3432"/>
      <c r="V3432"/>
      <c r="W3432">
        <v>18</v>
      </c>
    </row>
    <row r="3433" spans="1:23">
      <c r="A3433"/>
      <c r="B3433" t="s">
        <v>84</v>
      </c>
      <c r="C3433" t="s">
        <v>84</v>
      </c>
      <c r="D3433" t="s">
        <v>33</v>
      </c>
      <c r="E3433" t="s">
        <v>34</v>
      </c>
      <c r="F3433" t="str">
        <f>"0003730"</f>
        <v>0003730</v>
      </c>
      <c r="G3433">
        <v>1</v>
      </c>
      <c r="H3433" t="str">
        <f>"00000000"</f>
        <v>00000000</v>
      </c>
      <c r="I3433" t="s">
        <v>35</v>
      </c>
      <c r="J3433"/>
      <c r="K3433">
        <v>1.69</v>
      </c>
      <c r="L3433">
        <v>0.0</v>
      </c>
      <c r="M3433"/>
      <c r="N3433"/>
      <c r="O3433">
        <v>0.31</v>
      </c>
      <c r="P3433">
        <v>0.0</v>
      </c>
      <c r="Q3433">
        <v>2.0</v>
      </c>
      <c r="R3433"/>
      <c r="S3433"/>
      <c r="T3433"/>
      <c r="U3433"/>
      <c r="V3433"/>
      <c r="W3433">
        <v>18</v>
      </c>
    </row>
    <row r="3434" spans="1:23">
      <c r="A3434"/>
      <c r="B3434" t="s">
        <v>84</v>
      </c>
      <c r="C3434" t="s">
        <v>84</v>
      </c>
      <c r="D3434" t="s">
        <v>33</v>
      </c>
      <c r="E3434" t="s">
        <v>34</v>
      </c>
      <c r="F3434" t="str">
        <f>"0003731"</f>
        <v>0003731</v>
      </c>
      <c r="G3434">
        <v>1</v>
      </c>
      <c r="H3434" t="str">
        <f>"00000000"</f>
        <v>00000000</v>
      </c>
      <c r="I3434" t="s">
        <v>35</v>
      </c>
      <c r="J3434"/>
      <c r="K3434">
        <v>35.54</v>
      </c>
      <c r="L3434">
        <v>0.0</v>
      </c>
      <c r="M3434"/>
      <c r="N3434"/>
      <c r="O3434">
        <v>6.4</v>
      </c>
      <c r="P3434">
        <v>0.2</v>
      </c>
      <c r="Q3434">
        <v>42.14</v>
      </c>
      <c r="R3434"/>
      <c r="S3434"/>
      <c r="T3434"/>
      <c r="U3434"/>
      <c r="V3434"/>
      <c r="W3434">
        <v>18</v>
      </c>
    </row>
    <row r="3435" spans="1:23">
      <c r="A3435"/>
      <c r="B3435" t="s">
        <v>84</v>
      </c>
      <c r="C3435" t="s">
        <v>84</v>
      </c>
      <c r="D3435" t="s">
        <v>33</v>
      </c>
      <c r="E3435" t="s">
        <v>34</v>
      </c>
      <c r="F3435" t="str">
        <f>"0003732"</f>
        <v>0003732</v>
      </c>
      <c r="G3435">
        <v>1</v>
      </c>
      <c r="H3435" t="str">
        <f>"00000000"</f>
        <v>00000000</v>
      </c>
      <c r="I3435" t="s">
        <v>35</v>
      </c>
      <c r="J3435"/>
      <c r="K3435">
        <v>2.71</v>
      </c>
      <c r="L3435">
        <v>0.0</v>
      </c>
      <c r="M3435"/>
      <c r="N3435"/>
      <c r="O3435">
        <v>0.49</v>
      </c>
      <c r="P3435">
        <v>0.0</v>
      </c>
      <c r="Q3435">
        <v>3.2</v>
      </c>
      <c r="R3435"/>
      <c r="S3435"/>
      <c r="T3435"/>
      <c r="U3435"/>
      <c r="V3435"/>
      <c r="W3435">
        <v>18</v>
      </c>
    </row>
    <row r="3436" spans="1:23">
      <c r="A3436"/>
      <c r="B3436" t="s">
        <v>84</v>
      </c>
      <c r="C3436" t="s">
        <v>84</v>
      </c>
      <c r="D3436" t="s">
        <v>33</v>
      </c>
      <c r="E3436" t="s">
        <v>34</v>
      </c>
      <c r="F3436" t="str">
        <f>"0003733"</f>
        <v>0003733</v>
      </c>
      <c r="G3436">
        <v>1</v>
      </c>
      <c r="H3436" t="str">
        <f>"00000000"</f>
        <v>00000000</v>
      </c>
      <c r="I3436" t="s">
        <v>35</v>
      </c>
      <c r="J3436"/>
      <c r="K3436">
        <v>1.06</v>
      </c>
      <c r="L3436">
        <v>0.0</v>
      </c>
      <c r="M3436"/>
      <c r="N3436"/>
      <c r="O3436">
        <v>0.19</v>
      </c>
      <c r="P3436">
        <v>0.0</v>
      </c>
      <c r="Q3436">
        <v>1.25</v>
      </c>
      <c r="R3436"/>
      <c r="S3436"/>
      <c r="T3436"/>
      <c r="U3436"/>
      <c r="V3436"/>
      <c r="W3436">
        <v>18</v>
      </c>
    </row>
    <row r="3437" spans="1:23">
      <c r="A3437"/>
      <c r="B3437" t="s">
        <v>84</v>
      </c>
      <c r="C3437" t="s">
        <v>84</v>
      </c>
      <c r="D3437" t="s">
        <v>33</v>
      </c>
      <c r="E3437" t="s">
        <v>34</v>
      </c>
      <c r="F3437" t="str">
        <f>"0003734"</f>
        <v>0003734</v>
      </c>
      <c r="G3437">
        <v>1</v>
      </c>
      <c r="H3437" t="str">
        <f>"00000000"</f>
        <v>00000000</v>
      </c>
      <c r="I3437" t="s">
        <v>35</v>
      </c>
      <c r="J3437"/>
      <c r="K3437">
        <v>3.0</v>
      </c>
      <c r="L3437">
        <v>0.0</v>
      </c>
      <c r="M3437"/>
      <c r="N3437"/>
      <c r="O3437">
        <v>0.54</v>
      </c>
      <c r="P3437">
        <v>0.4</v>
      </c>
      <c r="Q3437">
        <v>3.94</v>
      </c>
      <c r="R3437"/>
      <c r="S3437"/>
      <c r="T3437"/>
      <c r="U3437"/>
      <c r="V3437"/>
      <c r="W3437">
        <v>18</v>
      </c>
    </row>
    <row r="3438" spans="1:23">
      <c r="A3438"/>
      <c r="B3438" t="s">
        <v>84</v>
      </c>
      <c r="C3438" t="s">
        <v>84</v>
      </c>
      <c r="D3438" t="s">
        <v>33</v>
      </c>
      <c r="E3438" t="s">
        <v>34</v>
      </c>
      <c r="F3438" t="str">
        <f>"0003735"</f>
        <v>0003735</v>
      </c>
      <c r="G3438">
        <v>1</v>
      </c>
      <c r="H3438" t="str">
        <f>"00000000"</f>
        <v>00000000</v>
      </c>
      <c r="I3438" t="s">
        <v>35</v>
      </c>
      <c r="J3438"/>
      <c r="K3438">
        <v>4.83</v>
      </c>
      <c r="L3438">
        <v>0.0</v>
      </c>
      <c r="M3438"/>
      <c r="N3438"/>
      <c r="O3438">
        <v>0.87</v>
      </c>
      <c r="P3438">
        <v>0.0</v>
      </c>
      <c r="Q3438">
        <v>5.7</v>
      </c>
      <c r="R3438"/>
      <c r="S3438"/>
      <c r="T3438"/>
      <c r="U3438"/>
      <c r="V3438"/>
      <c r="W3438">
        <v>18</v>
      </c>
    </row>
    <row r="3439" spans="1:23">
      <c r="A3439"/>
      <c r="B3439" t="s">
        <v>84</v>
      </c>
      <c r="C3439" t="s">
        <v>84</v>
      </c>
      <c r="D3439" t="s">
        <v>33</v>
      </c>
      <c r="E3439" t="s">
        <v>34</v>
      </c>
      <c r="F3439" t="str">
        <f>"0003736"</f>
        <v>0003736</v>
      </c>
      <c r="G3439">
        <v>1</v>
      </c>
      <c r="H3439" t="str">
        <f>"00000000"</f>
        <v>00000000</v>
      </c>
      <c r="I3439" t="s">
        <v>35</v>
      </c>
      <c r="J3439"/>
      <c r="K3439">
        <v>31.16</v>
      </c>
      <c r="L3439">
        <v>0.0</v>
      </c>
      <c r="M3439"/>
      <c r="N3439"/>
      <c r="O3439">
        <v>5.61</v>
      </c>
      <c r="P3439">
        <v>0.2</v>
      </c>
      <c r="Q3439">
        <v>36.97</v>
      </c>
      <c r="R3439"/>
      <c r="S3439"/>
      <c r="T3439"/>
      <c r="U3439"/>
      <c r="V3439"/>
      <c r="W3439">
        <v>18</v>
      </c>
    </row>
    <row r="3440" spans="1:23">
      <c r="A3440"/>
      <c r="B3440" t="s">
        <v>84</v>
      </c>
      <c r="C3440" t="s">
        <v>84</v>
      </c>
      <c r="D3440" t="s">
        <v>33</v>
      </c>
      <c r="E3440" t="s">
        <v>34</v>
      </c>
      <c r="F3440" t="str">
        <f>"0003737"</f>
        <v>0003737</v>
      </c>
      <c r="G3440">
        <v>1</v>
      </c>
      <c r="H3440" t="str">
        <f>"00000000"</f>
        <v>00000000</v>
      </c>
      <c r="I3440" t="s">
        <v>35</v>
      </c>
      <c r="J3440"/>
      <c r="K3440">
        <v>12.71</v>
      </c>
      <c r="L3440">
        <v>0.0</v>
      </c>
      <c r="M3440"/>
      <c r="N3440"/>
      <c r="O3440">
        <v>2.29</v>
      </c>
      <c r="P3440">
        <v>0.0</v>
      </c>
      <c r="Q3440">
        <v>15.0</v>
      </c>
      <c r="R3440"/>
      <c r="S3440"/>
      <c r="T3440"/>
      <c r="U3440"/>
      <c r="V3440"/>
      <c r="W3440">
        <v>18</v>
      </c>
    </row>
    <row r="3441" spans="1:23">
      <c r="A3441"/>
      <c r="B3441" t="s">
        <v>84</v>
      </c>
      <c r="C3441" t="s">
        <v>84</v>
      </c>
      <c r="D3441" t="s">
        <v>33</v>
      </c>
      <c r="E3441" t="s">
        <v>34</v>
      </c>
      <c r="F3441" t="str">
        <f>"0003738"</f>
        <v>0003738</v>
      </c>
      <c r="G3441">
        <v>1</v>
      </c>
      <c r="H3441" t="str">
        <f>"00000000"</f>
        <v>00000000</v>
      </c>
      <c r="I3441" t="s">
        <v>35</v>
      </c>
      <c r="J3441"/>
      <c r="K3441">
        <v>0.0</v>
      </c>
      <c r="L3441">
        <v>1.06</v>
      </c>
      <c r="M3441"/>
      <c r="N3441"/>
      <c r="O3441">
        <v>0.0</v>
      </c>
      <c r="P3441">
        <v>0.0</v>
      </c>
      <c r="Q3441">
        <v>1.06</v>
      </c>
      <c r="R3441"/>
      <c r="S3441"/>
      <c r="T3441"/>
      <c r="U3441"/>
      <c r="V3441"/>
      <c r="W3441">
        <v>18</v>
      </c>
    </row>
    <row r="3442" spans="1:23">
      <c r="A3442"/>
      <c r="B3442" t="s">
        <v>84</v>
      </c>
      <c r="C3442" t="s">
        <v>84</v>
      </c>
      <c r="D3442" t="s">
        <v>33</v>
      </c>
      <c r="E3442" t="s">
        <v>34</v>
      </c>
      <c r="F3442" t="str">
        <f>"0003739"</f>
        <v>0003739</v>
      </c>
      <c r="G3442">
        <v>1</v>
      </c>
      <c r="H3442" t="str">
        <f>"00000000"</f>
        <v>00000000</v>
      </c>
      <c r="I3442" t="s">
        <v>35</v>
      </c>
      <c r="J3442"/>
      <c r="K3442">
        <v>0.02</v>
      </c>
      <c r="L3442">
        <v>1.01</v>
      </c>
      <c r="M3442"/>
      <c r="N3442"/>
      <c r="O3442">
        <v>0.0</v>
      </c>
      <c r="P3442">
        <v>0.2</v>
      </c>
      <c r="Q3442">
        <v>1.23</v>
      </c>
      <c r="R3442"/>
      <c r="S3442"/>
      <c r="T3442"/>
      <c r="U3442"/>
      <c r="V3442"/>
      <c r="W3442">
        <v>18</v>
      </c>
    </row>
    <row r="3443" spans="1:23">
      <c r="A3443"/>
      <c r="B3443" t="s">
        <v>84</v>
      </c>
      <c r="C3443" t="s">
        <v>84</v>
      </c>
      <c r="D3443" t="s">
        <v>33</v>
      </c>
      <c r="E3443" t="s">
        <v>34</v>
      </c>
      <c r="F3443" t="str">
        <f>"0003740"</f>
        <v>0003740</v>
      </c>
      <c r="G3443">
        <v>1</v>
      </c>
      <c r="H3443" t="str">
        <f>"00000000"</f>
        <v>00000000</v>
      </c>
      <c r="I3443" t="s">
        <v>35</v>
      </c>
      <c r="J3443"/>
      <c r="K3443">
        <v>19.85</v>
      </c>
      <c r="L3443">
        <v>0.0</v>
      </c>
      <c r="M3443"/>
      <c r="N3443"/>
      <c r="O3443">
        <v>3.57</v>
      </c>
      <c r="P3443">
        <v>0.2</v>
      </c>
      <c r="Q3443">
        <v>23.62</v>
      </c>
      <c r="R3443"/>
      <c r="S3443"/>
      <c r="T3443"/>
      <c r="U3443"/>
      <c r="V3443"/>
      <c r="W3443">
        <v>18</v>
      </c>
    </row>
    <row r="3444" spans="1:23">
      <c r="A3444"/>
      <c r="B3444" t="s">
        <v>84</v>
      </c>
      <c r="C3444" t="s">
        <v>84</v>
      </c>
      <c r="D3444" t="s">
        <v>33</v>
      </c>
      <c r="E3444" t="s">
        <v>34</v>
      </c>
      <c r="F3444" t="str">
        <f>"0003741"</f>
        <v>0003741</v>
      </c>
      <c r="G3444">
        <v>1</v>
      </c>
      <c r="H3444" t="str">
        <f>"00000000"</f>
        <v>00000000</v>
      </c>
      <c r="I3444" t="s">
        <v>35</v>
      </c>
      <c r="J3444"/>
      <c r="K3444">
        <v>3.75</v>
      </c>
      <c r="L3444">
        <v>0.0</v>
      </c>
      <c r="M3444"/>
      <c r="N3444"/>
      <c r="O3444">
        <v>0.67</v>
      </c>
      <c r="P3444">
        <v>0.0</v>
      </c>
      <c r="Q3444">
        <v>4.42</v>
      </c>
      <c r="R3444"/>
      <c r="S3444"/>
      <c r="T3444"/>
      <c r="U3444"/>
      <c r="V3444"/>
      <c r="W3444">
        <v>18</v>
      </c>
    </row>
    <row r="3445" spans="1:23">
      <c r="A3445"/>
      <c r="B3445" t="s">
        <v>84</v>
      </c>
      <c r="C3445" t="s">
        <v>84</v>
      </c>
      <c r="D3445" t="s">
        <v>33</v>
      </c>
      <c r="E3445" t="s">
        <v>34</v>
      </c>
      <c r="F3445" t="str">
        <f>"0003742"</f>
        <v>0003742</v>
      </c>
      <c r="G3445">
        <v>1</v>
      </c>
      <c r="H3445" t="str">
        <f>"00000000"</f>
        <v>00000000</v>
      </c>
      <c r="I3445" t="s">
        <v>35</v>
      </c>
      <c r="J3445"/>
      <c r="K3445">
        <v>35.86</v>
      </c>
      <c r="L3445">
        <v>0.0</v>
      </c>
      <c r="M3445"/>
      <c r="N3445"/>
      <c r="O3445">
        <v>6.46</v>
      </c>
      <c r="P3445">
        <v>0.2</v>
      </c>
      <c r="Q3445">
        <v>42.52</v>
      </c>
      <c r="R3445"/>
      <c r="S3445"/>
      <c r="T3445"/>
      <c r="U3445"/>
      <c r="V3445"/>
      <c r="W3445">
        <v>18</v>
      </c>
    </row>
    <row r="3446" spans="1:23">
      <c r="A3446"/>
      <c r="B3446" t="s">
        <v>84</v>
      </c>
      <c r="C3446" t="s">
        <v>84</v>
      </c>
      <c r="D3446" t="s">
        <v>33</v>
      </c>
      <c r="E3446" t="s">
        <v>34</v>
      </c>
      <c r="F3446" t="str">
        <f>"0003743"</f>
        <v>0003743</v>
      </c>
      <c r="G3446">
        <v>1</v>
      </c>
      <c r="H3446" t="str">
        <f>"00000000"</f>
        <v>00000000</v>
      </c>
      <c r="I3446" t="s">
        <v>35</v>
      </c>
      <c r="J3446"/>
      <c r="K3446">
        <v>7.12</v>
      </c>
      <c r="L3446">
        <v>0.0</v>
      </c>
      <c r="M3446"/>
      <c r="N3446"/>
      <c r="O3446">
        <v>1.28</v>
      </c>
      <c r="P3446">
        <v>0.0</v>
      </c>
      <c r="Q3446">
        <v>8.4</v>
      </c>
      <c r="R3446"/>
      <c r="S3446"/>
      <c r="T3446"/>
      <c r="U3446"/>
      <c r="V3446"/>
      <c r="W3446">
        <v>18</v>
      </c>
    </row>
    <row r="3447" spans="1:23">
      <c r="A3447"/>
      <c r="B3447" t="s">
        <v>84</v>
      </c>
      <c r="C3447" t="s">
        <v>84</v>
      </c>
      <c r="D3447" t="s">
        <v>33</v>
      </c>
      <c r="E3447" t="s">
        <v>34</v>
      </c>
      <c r="F3447" t="str">
        <f>"0003744"</f>
        <v>0003744</v>
      </c>
      <c r="G3447">
        <v>1</v>
      </c>
      <c r="H3447" t="str">
        <f>"00000000"</f>
        <v>00000000</v>
      </c>
      <c r="I3447" t="s">
        <v>35</v>
      </c>
      <c r="J3447"/>
      <c r="K3447">
        <v>8.47</v>
      </c>
      <c r="L3447">
        <v>0.0</v>
      </c>
      <c r="M3447"/>
      <c r="N3447"/>
      <c r="O3447">
        <v>1.53</v>
      </c>
      <c r="P3447">
        <v>0.0</v>
      </c>
      <c r="Q3447">
        <v>10.0</v>
      </c>
      <c r="R3447"/>
      <c r="S3447"/>
      <c r="T3447"/>
      <c r="U3447"/>
      <c r="V3447"/>
      <c r="W3447">
        <v>18</v>
      </c>
    </row>
    <row r="3448" spans="1:23">
      <c r="A3448"/>
      <c r="B3448" t="s">
        <v>84</v>
      </c>
      <c r="C3448" t="s">
        <v>84</v>
      </c>
      <c r="D3448" t="s">
        <v>33</v>
      </c>
      <c r="E3448" t="s">
        <v>34</v>
      </c>
      <c r="F3448" t="str">
        <f>"0003745"</f>
        <v>0003745</v>
      </c>
      <c r="G3448">
        <v>1</v>
      </c>
      <c r="H3448" t="str">
        <f>"00000000"</f>
        <v>00000000</v>
      </c>
      <c r="I3448" t="s">
        <v>35</v>
      </c>
      <c r="J3448"/>
      <c r="K3448">
        <v>19.12</v>
      </c>
      <c r="L3448">
        <v>9.83</v>
      </c>
      <c r="M3448"/>
      <c r="N3448"/>
      <c r="O3448">
        <v>3.44</v>
      </c>
      <c r="P3448">
        <v>0.2</v>
      </c>
      <c r="Q3448">
        <v>32.59</v>
      </c>
      <c r="R3448"/>
      <c r="S3448"/>
      <c r="T3448"/>
      <c r="U3448"/>
      <c r="V3448"/>
      <c r="W3448">
        <v>18</v>
      </c>
    </row>
    <row r="3449" spans="1:23">
      <c r="A3449"/>
      <c r="B3449" t="s">
        <v>84</v>
      </c>
      <c r="C3449" t="s">
        <v>84</v>
      </c>
      <c r="D3449" t="s">
        <v>33</v>
      </c>
      <c r="E3449" t="s">
        <v>34</v>
      </c>
      <c r="F3449" t="str">
        <f>"0003746"</f>
        <v>0003746</v>
      </c>
      <c r="G3449">
        <v>1</v>
      </c>
      <c r="H3449" t="str">
        <f>"00000000"</f>
        <v>00000000</v>
      </c>
      <c r="I3449" t="s">
        <v>35</v>
      </c>
      <c r="J3449"/>
      <c r="K3449">
        <v>21.61</v>
      </c>
      <c r="L3449">
        <v>0.0</v>
      </c>
      <c r="M3449"/>
      <c r="N3449"/>
      <c r="O3449">
        <v>3.89</v>
      </c>
      <c r="P3449">
        <v>0.0</v>
      </c>
      <c r="Q3449">
        <v>25.5</v>
      </c>
      <c r="R3449"/>
      <c r="S3449"/>
      <c r="T3449"/>
      <c r="U3449"/>
      <c r="V3449"/>
      <c r="W3449">
        <v>18</v>
      </c>
    </row>
    <row r="3450" spans="1:23">
      <c r="A3450"/>
      <c r="B3450" t="s">
        <v>84</v>
      </c>
      <c r="C3450" t="s">
        <v>84</v>
      </c>
      <c r="D3450" t="s">
        <v>33</v>
      </c>
      <c r="E3450" t="s">
        <v>34</v>
      </c>
      <c r="F3450" t="str">
        <f>"0003747"</f>
        <v>0003747</v>
      </c>
      <c r="G3450">
        <v>1</v>
      </c>
      <c r="H3450" t="str">
        <f>"00000000"</f>
        <v>00000000</v>
      </c>
      <c r="I3450" t="s">
        <v>35</v>
      </c>
      <c r="J3450"/>
      <c r="K3450">
        <v>0.85</v>
      </c>
      <c r="L3450">
        <v>2.19</v>
      </c>
      <c r="M3450"/>
      <c r="N3450"/>
      <c r="O3450">
        <v>0.15</v>
      </c>
      <c r="P3450">
        <v>0.0</v>
      </c>
      <c r="Q3450">
        <v>3.19</v>
      </c>
      <c r="R3450"/>
      <c r="S3450"/>
      <c r="T3450"/>
      <c r="U3450"/>
      <c r="V3450"/>
      <c r="W3450">
        <v>18</v>
      </c>
    </row>
    <row r="3451" spans="1:23">
      <c r="A3451"/>
      <c r="B3451" t="s">
        <v>84</v>
      </c>
      <c r="C3451" t="s">
        <v>84</v>
      </c>
      <c r="D3451" t="s">
        <v>33</v>
      </c>
      <c r="E3451" t="s">
        <v>34</v>
      </c>
      <c r="F3451" t="str">
        <f>"0003748"</f>
        <v>0003748</v>
      </c>
      <c r="G3451">
        <v>1</v>
      </c>
      <c r="H3451" t="str">
        <f>"00000000"</f>
        <v>00000000</v>
      </c>
      <c r="I3451" t="s">
        <v>35</v>
      </c>
      <c r="J3451"/>
      <c r="K3451">
        <v>1.06</v>
      </c>
      <c r="L3451">
        <v>0.0</v>
      </c>
      <c r="M3451"/>
      <c r="N3451"/>
      <c r="O3451">
        <v>0.19</v>
      </c>
      <c r="P3451">
        <v>0.0</v>
      </c>
      <c r="Q3451">
        <v>1.25</v>
      </c>
      <c r="R3451"/>
      <c r="S3451"/>
      <c r="T3451"/>
      <c r="U3451"/>
      <c r="V3451"/>
      <c r="W3451">
        <v>18</v>
      </c>
    </row>
    <row r="3452" spans="1:23">
      <c r="A3452"/>
      <c r="B3452" t="s">
        <v>84</v>
      </c>
      <c r="C3452" t="s">
        <v>84</v>
      </c>
      <c r="D3452" t="s">
        <v>33</v>
      </c>
      <c r="E3452" t="s">
        <v>34</v>
      </c>
      <c r="F3452" t="str">
        <f>"0003749"</f>
        <v>0003749</v>
      </c>
      <c r="G3452">
        <v>1</v>
      </c>
      <c r="H3452" t="str">
        <f>"00000000"</f>
        <v>00000000</v>
      </c>
      <c r="I3452" t="s">
        <v>35</v>
      </c>
      <c r="J3452"/>
      <c r="K3452">
        <v>10.1</v>
      </c>
      <c r="L3452">
        <v>0.0</v>
      </c>
      <c r="M3452"/>
      <c r="N3452"/>
      <c r="O3452">
        <v>1.82</v>
      </c>
      <c r="P3452">
        <v>0.2</v>
      </c>
      <c r="Q3452">
        <v>12.12</v>
      </c>
      <c r="R3452"/>
      <c r="S3452"/>
      <c r="T3452"/>
      <c r="U3452"/>
      <c r="V3452"/>
      <c r="W3452">
        <v>18</v>
      </c>
    </row>
    <row r="3453" spans="1:23">
      <c r="A3453"/>
      <c r="B3453" t="s">
        <v>84</v>
      </c>
      <c r="C3453" t="s">
        <v>84</v>
      </c>
      <c r="D3453" t="s">
        <v>33</v>
      </c>
      <c r="E3453" t="s">
        <v>34</v>
      </c>
      <c r="F3453" t="str">
        <f>"0003750"</f>
        <v>0003750</v>
      </c>
      <c r="G3453">
        <v>1</v>
      </c>
      <c r="H3453" t="str">
        <f>"00000000"</f>
        <v>00000000</v>
      </c>
      <c r="I3453" t="s">
        <v>35</v>
      </c>
      <c r="J3453"/>
      <c r="K3453">
        <v>0.0</v>
      </c>
      <c r="L3453">
        <v>1.18</v>
      </c>
      <c r="M3453"/>
      <c r="N3453"/>
      <c r="O3453">
        <v>0.0</v>
      </c>
      <c r="P3453">
        <v>0.0</v>
      </c>
      <c r="Q3453">
        <v>1.18</v>
      </c>
      <c r="R3453"/>
      <c r="S3453"/>
      <c r="T3453"/>
      <c r="U3453"/>
      <c r="V3453"/>
      <c r="W3453">
        <v>18</v>
      </c>
    </row>
    <row r="3454" spans="1:23">
      <c r="A3454"/>
      <c r="B3454" t="s">
        <v>84</v>
      </c>
      <c r="C3454" t="s">
        <v>84</v>
      </c>
      <c r="D3454" t="s">
        <v>33</v>
      </c>
      <c r="E3454" t="s">
        <v>34</v>
      </c>
      <c r="F3454" t="str">
        <f>"0003751"</f>
        <v>0003751</v>
      </c>
      <c r="G3454">
        <v>1</v>
      </c>
      <c r="H3454" t="str">
        <f>"00000000"</f>
        <v>00000000</v>
      </c>
      <c r="I3454" t="s">
        <v>35</v>
      </c>
      <c r="J3454"/>
      <c r="K3454">
        <v>1.1</v>
      </c>
      <c r="L3454">
        <v>0.0</v>
      </c>
      <c r="M3454"/>
      <c r="N3454"/>
      <c r="O3454">
        <v>0.2</v>
      </c>
      <c r="P3454">
        <v>0.0</v>
      </c>
      <c r="Q3454">
        <v>1.3</v>
      </c>
      <c r="R3454"/>
      <c r="S3454"/>
      <c r="T3454"/>
      <c r="U3454"/>
      <c r="V3454"/>
      <c r="W3454">
        <v>18</v>
      </c>
    </row>
    <row r="3455" spans="1:23">
      <c r="A3455"/>
      <c r="B3455" t="s">
        <v>84</v>
      </c>
      <c r="C3455" t="s">
        <v>84</v>
      </c>
      <c r="D3455" t="s">
        <v>33</v>
      </c>
      <c r="E3455" t="s">
        <v>34</v>
      </c>
      <c r="F3455" t="str">
        <f>"0003752"</f>
        <v>0003752</v>
      </c>
      <c r="G3455">
        <v>1</v>
      </c>
      <c r="H3455" t="str">
        <f>"00000000"</f>
        <v>00000000</v>
      </c>
      <c r="I3455" t="s">
        <v>35</v>
      </c>
      <c r="J3455"/>
      <c r="K3455">
        <v>1.27</v>
      </c>
      <c r="L3455">
        <v>0.0</v>
      </c>
      <c r="M3455"/>
      <c r="N3455"/>
      <c r="O3455">
        <v>0.23</v>
      </c>
      <c r="P3455">
        <v>0.0</v>
      </c>
      <c r="Q3455">
        <v>1.5</v>
      </c>
      <c r="R3455"/>
      <c r="S3455"/>
      <c r="T3455"/>
      <c r="U3455"/>
      <c r="V3455"/>
      <c r="W3455">
        <v>18</v>
      </c>
    </row>
    <row r="3456" spans="1:23">
      <c r="A3456"/>
      <c r="B3456" t="s">
        <v>84</v>
      </c>
      <c r="C3456" t="s">
        <v>84</v>
      </c>
      <c r="D3456" t="s">
        <v>33</v>
      </c>
      <c r="E3456" t="s">
        <v>34</v>
      </c>
      <c r="F3456" t="str">
        <f>"0003753"</f>
        <v>0003753</v>
      </c>
      <c r="G3456">
        <v>1</v>
      </c>
      <c r="H3456" t="str">
        <f>"00000000"</f>
        <v>00000000</v>
      </c>
      <c r="I3456" t="s">
        <v>35</v>
      </c>
      <c r="J3456"/>
      <c r="K3456">
        <v>2.54</v>
      </c>
      <c r="L3456">
        <v>0.0</v>
      </c>
      <c r="M3456"/>
      <c r="N3456"/>
      <c r="O3456">
        <v>0.46</v>
      </c>
      <c r="P3456">
        <v>0.0</v>
      </c>
      <c r="Q3456">
        <v>3.0</v>
      </c>
      <c r="R3456"/>
      <c r="S3456"/>
      <c r="T3456"/>
      <c r="U3456"/>
      <c r="V3456"/>
      <c r="W3456">
        <v>18</v>
      </c>
    </row>
    <row r="3457" spans="1:23">
      <c r="A3457"/>
      <c r="B3457" t="s">
        <v>84</v>
      </c>
      <c r="C3457" t="s">
        <v>84</v>
      </c>
      <c r="D3457" t="s">
        <v>33</v>
      </c>
      <c r="E3457" t="s">
        <v>34</v>
      </c>
      <c r="F3457" t="str">
        <f>"0003754"</f>
        <v>0003754</v>
      </c>
      <c r="G3457">
        <v>1</v>
      </c>
      <c r="H3457" t="str">
        <f>"00000000"</f>
        <v>00000000</v>
      </c>
      <c r="I3457" t="s">
        <v>35</v>
      </c>
      <c r="J3457"/>
      <c r="K3457">
        <v>10.51</v>
      </c>
      <c r="L3457">
        <v>0.0</v>
      </c>
      <c r="M3457"/>
      <c r="N3457"/>
      <c r="O3457">
        <v>1.89</v>
      </c>
      <c r="P3457">
        <v>0.0</v>
      </c>
      <c r="Q3457">
        <v>12.4</v>
      </c>
      <c r="R3457"/>
      <c r="S3457"/>
      <c r="T3457"/>
      <c r="U3457"/>
      <c r="V3457"/>
      <c r="W3457">
        <v>18</v>
      </c>
    </row>
    <row r="3458" spans="1:23">
      <c r="A3458"/>
      <c r="B3458" t="s">
        <v>84</v>
      </c>
      <c r="C3458" t="s">
        <v>84</v>
      </c>
      <c r="D3458" t="s">
        <v>33</v>
      </c>
      <c r="E3458" t="s">
        <v>34</v>
      </c>
      <c r="F3458" t="str">
        <f>"0003755"</f>
        <v>0003755</v>
      </c>
      <c r="G3458">
        <v>1</v>
      </c>
      <c r="H3458" t="str">
        <f>"00000000"</f>
        <v>00000000</v>
      </c>
      <c r="I3458" t="s">
        <v>35</v>
      </c>
      <c r="J3458"/>
      <c r="K3458">
        <v>20.95</v>
      </c>
      <c r="L3458">
        <v>0.0</v>
      </c>
      <c r="M3458"/>
      <c r="N3458"/>
      <c r="O3458">
        <v>3.77</v>
      </c>
      <c r="P3458">
        <v>0.2</v>
      </c>
      <c r="Q3458">
        <v>24.92</v>
      </c>
      <c r="R3458"/>
      <c r="S3458"/>
      <c r="T3458"/>
      <c r="U3458"/>
      <c r="V3458"/>
      <c r="W3458">
        <v>18</v>
      </c>
    </row>
    <row r="3459" spans="1:23">
      <c r="A3459"/>
      <c r="B3459" t="s">
        <v>84</v>
      </c>
      <c r="C3459" t="s">
        <v>84</v>
      </c>
      <c r="D3459" t="s">
        <v>33</v>
      </c>
      <c r="E3459" t="s">
        <v>34</v>
      </c>
      <c r="F3459" t="str">
        <f>"0003756"</f>
        <v>0003756</v>
      </c>
      <c r="G3459">
        <v>1</v>
      </c>
      <c r="H3459" t="str">
        <f>"00000000"</f>
        <v>00000000</v>
      </c>
      <c r="I3459" t="s">
        <v>35</v>
      </c>
      <c r="J3459"/>
      <c r="K3459">
        <v>31.27</v>
      </c>
      <c r="L3459">
        <v>0.0</v>
      </c>
      <c r="M3459"/>
      <c r="N3459"/>
      <c r="O3459">
        <v>5.63</v>
      </c>
      <c r="P3459">
        <v>0.0</v>
      </c>
      <c r="Q3459">
        <v>36.9</v>
      </c>
      <c r="R3459"/>
      <c r="S3459"/>
      <c r="T3459"/>
      <c r="U3459"/>
      <c r="V3459"/>
      <c r="W3459">
        <v>18</v>
      </c>
    </row>
    <row r="3460" spans="1:23">
      <c r="A3460"/>
      <c r="B3460" t="s">
        <v>84</v>
      </c>
      <c r="C3460" t="s">
        <v>84</v>
      </c>
      <c r="D3460" t="s">
        <v>33</v>
      </c>
      <c r="E3460" t="s">
        <v>34</v>
      </c>
      <c r="F3460" t="str">
        <f>"0003757"</f>
        <v>0003757</v>
      </c>
      <c r="G3460">
        <v>1</v>
      </c>
      <c r="H3460" t="str">
        <f>"00000000"</f>
        <v>00000000</v>
      </c>
      <c r="I3460" t="s">
        <v>35</v>
      </c>
      <c r="J3460"/>
      <c r="K3460">
        <v>22.81</v>
      </c>
      <c r="L3460">
        <v>0.0</v>
      </c>
      <c r="M3460"/>
      <c r="N3460"/>
      <c r="O3460">
        <v>4.11</v>
      </c>
      <c r="P3460">
        <v>0.2</v>
      </c>
      <c r="Q3460">
        <v>27.12</v>
      </c>
      <c r="R3460"/>
      <c r="S3460"/>
      <c r="T3460"/>
      <c r="U3460"/>
      <c r="V3460"/>
      <c r="W3460">
        <v>18</v>
      </c>
    </row>
    <row r="3461" spans="1:23">
      <c r="A3461"/>
      <c r="B3461" t="s">
        <v>84</v>
      </c>
      <c r="C3461" t="s">
        <v>84</v>
      </c>
      <c r="D3461" t="s">
        <v>33</v>
      </c>
      <c r="E3461" t="s">
        <v>34</v>
      </c>
      <c r="F3461" t="str">
        <f>"0003758"</f>
        <v>0003758</v>
      </c>
      <c r="G3461">
        <v>1</v>
      </c>
      <c r="H3461" t="str">
        <f>"00000000"</f>
        <v>00000000</v>
      </c>
      <c r="I3461" t="s">
        <v>35</v>
      </c>
      <c r="J3461"/>
      <c r="K3461">
        <v>1.86</v>
      </c>
      <c r="L3461">
        <v>0.0</v>
      </c>
      <c r="M3461"/>
      <c r="N3461"/>
      <c r="O3461">
        <v>0.34</v>
      </c>
      <c r="P3461">
        <v>0.0</v>
      </c>
      <c r="Q3461">
        <v>2.2</v>
      </c>
      <c r="R3461"/>
      <c r="S3461"/>
      <c r="T3461"/>
      <c r="U3461"/>
      <c r="V3461"/>
      <c r="W3461">
        <v>18</v>
      </c>
    </row>
    <row r="3462" spans="1:23">
      <c r="A3462"/>
      <c r="B3462" t="s">
        <v>84</v>
      </c>
      <c r="C3462" t="s">
        <v>84</v>
      </c>
      <c r="D3462" t="s">
        <v>33</v>
      </c>
      <c r="E3462" t="s">
        <v>34</v>
      </c>
      <c r="F3462" t="str">
        <f>"0003759"</f>
        <v>0003759</v>
      </c>
      <c r="G3462">
        <v>1</v>
      </c>
      <c r="H3462" t="str">
        <f>"00000000"</f>
        <v>00000000</v>
      </c>
      <c r="I3462" t="s">
        <v>35</v>
      </c>
      <c r="J3462"/>
      <c r="K3462">
        <v>108.15</v>
      </c>
      <c r="L3462">
        <v>2.89</v>
      </c>
      <c r="M3462"/>
      <c r="N3462"/>
      <c r="O3462">
        <v>19.47</v>
      </c>
      <c r="P3462">
        <v>0.4</v>
      </c>
      <c r="Q3462">
        <v>130.91</v>
      </c>
      <c r="R3462"/>
      <c r="S3462"/>
      <c r="T3462"/>
      <c r="U3462"/>
      <c r="V3462"/>
      <c r="W3462">
        <v>18</v>
      </c>
    </row>
    <row r="3463" spans="1:23">
      <c r="A3463"/>
      <c r="B3463" t="s">
        <v>84</v>
      </c>
      <c r="C3463" t="s">
        <v>84</v>
      </c>
      <c r="D3463" t="s">
        <v>33</v>
      </c>
      <c r="E3463" t="s">
        <v>34</v>
      </c>
      <c r="F3463" t="str">
        <f>"0003760"</f>
        <v>0003760</v>
      </c>
      <c r="G3463">
        <v>1</v>
      </c>
      <c r="H3463" t="str">
        <f>"00000000"</f>
        <v>00000000</v>
      </c>
      <c r="I3463" t="s">
        <v>35</v>
      </c>
      <c r="J3463"/>
      <c r="K3463">
        <v>6.36</v>
      </c>
      <c r="L3463">
        <v>0.0</v>
      </c>
      <c r="M3463"/>
      <c r="N3463"/>
      <c r="O3463">
        <v>1.14</v>
      </c>
      <c r="P3463">
        <v>0.0</v>
      </c>
      <c r="Q3463">
        <v>7.5</v>
      </c>
      <c r="R3463"/>
      <c r="S3463"/>
      <c r="T3463"/>
      <c r="U3463"/>
      <c r="V3463"/>
      <c r="W3463">
        <v>18</v>
      </c>
    </row>
    <row r="3464" spans="1:23">
      <c r="A3464"/>
      <c r="B3464" t="s">
        <v>84</v>
      </c>
      <c r="C3464" t="s">
        <v>84</v>
      </c>
      <c r="D3464" t="s">
        <v>33</v>
      </c>
      <c r="E3464" t="s">
        <v>34</v>
      </c>
      <c r="F3464" t="str">
        <f>"0003761"</f>
        <v>0003761</v>
      </c>
      <c r="G3464">
        <v>1</v>
      </c>
      <c r="H3464" t="str">
        <f>"00000000"</f>
        <v>00000000</v>
      </c>
      <c r="I3464" t="s">
        <v>35</v>
      </c>
      <c r="J3464"/>
      <c r="K3464">
        <v>0.02</v>
      </c>
      <c r="L3464">
        <v>0.0</v>
      </c>
      <c r="M3464"/>
      <c r="N3464"/>
      <c r="O3464">
        <v>0.0</v>
      </c>
      <c r="P3464">
        <v>0.2</v>
      </c>
      <c r="Q3464">
        <v>0.22</v>
      </c>
      <c r="R3464"/>
      <c r="S3464"/>
      <c r="T3464"/>
      <c r="U3464"/>
      <c r="V3464"/>
      <c r="W3464">
        <v>18</v>
      </c>
    </row>
    <row r="3465" spans="1:23">
      <c r="A3465"/>
      <c r="B3465" t="s">
        <v>84</v>
      </c>
      <c r="C3465" t="s">
        <v>84</v>
      </c>
      <c r="D3465" t="s">
        <v>33</v>
      </c>
      <c r="E3465" t="s">
        <v>34</v>
      </c>
      <c r="F3465" t="str">
        <f>"0003762"</f>
        <v>0003762</v>
      </c>
      <c r="G3465">
        <v>1</v>
      </c>
      <c r="H3465" t="str">
        <f>"00000000"</f>
        <v>00000000</v>
      </c>
      <c r="I3465" t="s">
        <v>35</v>
      </c>
      <c r="J3465"/>
      <c r="K3465">
        <v>13.37</v>
      </c>
      <c r="L3465">
        <v>0.0</v>
      </c>
      <c r="M3465"/>
      <c r="N3465"/>
      <c r="O3465">
        <v>2.41</v>
      </c>
      <c r="P3465">
        <v>0.0</v>
      </c>
      <c r="Q3465">
        <v>15.78</v>
      </c>
      <c r="R3465"/>
      <c r="S3465"/>
      <c r="T3465"/>
      <c r="U3465"/>
      <c r="V3465"/>
      <c r="W3465">
        <v>18</v>
      </c>
    </row>
    <row r="3466" spans="1:23">
      <c r="A3466"/>
      <c r="B3466" t="s">
        <v>84</v>
      </c>
      <c r="C3466" t="s">
        <v>84</v>
      </c>
      <c r="D3466" t="s">
        <v>33</v>
      </c>
      <c r="E3466" t="s">
        <v>34</v>
      </c>
      <c r="F3466" t="str">
        <f>"0003763"</f>
        <v>0003763</v>
      </c>
      <c r="G3466">
        <v>1</v>
      </c>
      <c r="H3466" t="str">
        <f>"00000000"</f>
        <v>00000000</v>
      </c>
      <c r="I3466" t="s">
        <v>35</v>
      </c>
      <c r="J3466"/>
      <c r="K3466">
        <v>10.59</v>
      </c>
      <c r="L3466">
        <v>0.0</v>
      </c>
      <c r="M3466"/>
      <c r="N3466"/>
      <c r="O3466">
        <v>1.91</v>
      </c>
      <c r="P3466">
        <v>0.0</v>
      </c>
      <c r="Q3466">
        <v>12.5</v>
      </c>
      <c r="R3466"/>
      <c r="S3466"/>
      <c r="T3466"/>
      <c r="U3466"/>
      <c r="V3466"/>
      <c r="W3466">
        <v>18</v>
      </c>
    </row>
    <row r="3467" spans="1:23">
      <c r="A3467"/>
      <c r="B3467" t="s">
        <v>84</v>
      </c>
      <c r="C3467" t="s">
        <v>84</v>
      </c>
      <c r="D3467" t="s">
        <v>33</v>
      </c>
      <c r="E3467" t="s">
        <v>34</v>
      </c>
      <c r="F3467" t="str">
        <f>"0003764"</f>
        <v>0003764</v>
      </c>
      <c r="G3467">
        <v>1</v>
      </c>
      <c r="H3467" t="str">
        <f>"00000000"</f>
        <v>00000000</v>
      </c>
      <c r="I3467" t="s">
        <v>35</v>
      </c>
      <c r="J3467"/>
      <c r="K3467">
        <v>4.24</v>
      </c>
      <c r="L3467">
        <v>0.0</v>
      </c>
      <c r="M3467"/>
      <c r="N3467"/>
      <c r="O3467">
        <v>0.76</v>
      </c>
      <c r="P3467">
        <v>0.0</v>
      </c>
      <c r="Q3467">
        <v>5.0</v>
      </c>
      <c r="R3467"/>
      <c r="S3467"/>
      <c r="T3467"/>
      <c r="U3467"/>
      <c r="V3467"/>
      <c r="W3467">
        <v>18</v>
      </c>
    </row>
    <row r="3468" spans="1:23">
      <c r="A3468"/>
      <c r="B3468" t="s">
        <v>84</v>
      </c>
      <c r="C3468" t="s">
        <v>84</v>
      </c>
      <c r="D3468" t="s">
        <v>33</v>
      </c>
      <c r="E3468" t="s">
        <v>34</v>
      </c>
      <c r="F3468" t="str">
        <f>"0003765"</f>
        <v>0003765</v>
      </c>
      <c r="G3468">
        <v>1</v>
      </c>
      <c r="H3468" t="str">
        <f>"00000000"</f>
        <v>00000000</v>
      </c>
      <c r="I3468" t="s">
        <v>35</v>
      </c>
      <c r="J3468"/>
      <c r="K3468">
        <v>6.57</v>
      </c>
      <c r="L3468">
        <v>0.0</v>
      </c>
      <c r="M3468"/>
      <c r="N3468"/>
      <c r="O3468">
        <v>1.18</v>
      </c>
      <c r="P3468">
        <v>0.0</v>
      </c>
      <c r="Q3468">
        <v>7.75</v>
      </c>
      <c r="R3468"/>
      <c r="S3468"/>
      <c r="T3468"/>
      <c r="U3468"/>
      <c r="V3468"/>
      <c r="W3468">
        <v>18</v>
      </c>
    </row>
    <row r="3469" spans="1:23">
      <c r="A3469"/>
      <c r="B3469" t="s">
        <v>84</v>
      </c>
      <c r="C3469" t="s">
        <v>84</v>
      </c>
      <c r="D3469" t="s">
        <v>33</v>
      </c>
      <c r="E3469" t="s">
        <v>34</v>
      </c>
      <c r="F3469" t="str">
        <f>"0003766"</f>
        <v>0003766</v>
      </c>
      <c r="G3469">
        <v>1</v>
      </c>
      <c r="H3469" t="str">
        <f>"00000000"</f>
        <v>00000000</v>
      </c>
      <c r="I3469" t="s">
        <v>35</v>
      </c>
      <c r="J3469"/>
      <c r="K3469">
        <v>7.21</v>
      </c>
      <c r="L3469">
        <v>1.11</v>
      </c>
      <c r="M3469"/>
      <c r="N3469"/>
      <c r="O3469">
        <v>1.3</v>
      </c>
      <c r="P3469">
        <v>0.0</v>
      </c>
      <c r="Q3469">
        <v>9.61</v>
      </c>
      <c r="R3469"/>
      <c r="S3469"/>
      <c r="T3469"/>
      <c r="U3469"/>
      <c r="V3469"/>
      <c r="W3469">
        <v>18</v>
      </c>
    </row>
    <row r="3470" spans="1:23">
      <c r="A3470"/>
      <c r="B3470" t="s">
        <v>84</v>
      </c>
      <c r="C3470" t="s">
        <v>84</v>
      </c>
      <c r="D3470" t="s">
        <v>33</v>
      </c>
      <c r="E3470" t="s">
        <v>34</v>
      </c>
      <c r="F3470" t="str">
        <f>"0003767"</f>
        <v>0003767</v>
      </c>
      <c r="G3470">
        <v>1</v>
      </c>
      <c r="H3470" t="str">
        <f>"00000000"</f>
        <v>00000000</v>
      </c>
      <c r="I3470" t="s">
        <v>35</v>
      </c>
      <c r="J3470"/>
      <c r="K3470">
        <v>5.47</v>
      </c>
      <c r="L3470">
        <v>0.0</v>
      </c>
      <c r="M3470"/>
      <c r="N3470"/>
      <c r="O3470">
        <v>0.98</v>
      </c>
      <c r="P3470">
        <v>0.0</v>
      </c>
      <c r="Q3470">
        <v>6.45</v>
      </c>
      <c r="R3470"/>
      <c r="S3470"/>
      <c r="T3470"/>
      <c r="U3470"/>
      <c r="V3470"/>
      <c r="W3470">
        <v>18</v>
      </c>
    </row>
    <row r="3471" spans="1:23">
      <c r="A3471"/>
      <c r="B3471" t="s">
        <v>84</v>
      </c>
      <c r="C3471" t="s">
        <v>84</v>
      </c>
      <c r="D3471" t="s">
        <v>33</v>
      </c>
      <c r="E3471" t="s">
        <v>34</v>
      </c>
      <c r="F3471" t="str">
        <f>"0003768"</f>
        <v>0003768</v>
      </c>
      <c r="G3471">
        <v>1</v>
      </c>
      <c r="H3471" t="str">
        <f>"00000000"</f>
        <v>00000000</v>
      </c>
      <c r="I3471" t="s">
        <v>35</v>
      </c>
      <c r="J3471"/>
      <c r="K3471">
        <v>6.03</v>
      </c>
      <c r="L3471">
        <v>0.0</v>
      </c>
      <c r="M3471"/>
      <c r="N3471"/>
      <c r="O3471">
        <v>1.09</v>
      </c>
      <c r="P3471">
        <v>0.2</v>
      </c>
      <c r="Q3471">
        <v>7.32</v>
      </c>
      <c r="R3471"/>
      <c r="S3471"/>
      <c r="T3471"/>
      <c r="U3471"/>
      <c r="V3471"/>
      <c r="W3471">
        <v>18</v>
      </c>
    </row>
    <row r="3472" spans="1:23">
      <c r="A3472"/>
      <c r="B3472" t="s">
        <v>84</v>
      </c>
      <c r="C3472" t="s">
        <v>84</v>
      </c>
      <c r="D3472" t="s">
        <v>33</v>
      </c>
      <c r="E3472" t="s">
        <v>34</v>
      </c>
      <c r="F3472" t="str">
        <f>"0003769"</f>
        <v>0003769</v>
      </c>
      <c r="G3472">
        <v>1</v>
      </c>
      <c r="H3472" t="str">
        <f>"00000000"</f>
        <v>00000000</v>
      </c>
      <c r="I3472" t="s">
        <v>35</v>
      </c>
      <c r="J3472"/>
      <c r="K3472">
        <v>3.39</v>
      </c>
      <c r="L3472">
        <v>0.0</v>
      </c>
      <c r="M3472"/>
      <c r="N3472"/>
      <c r="O3472">
        <v>0.61</v>
      </c>
      <c r="P3472">
        <v>0.0</v>
      </c>
      <c r="Q3472">
        <v>4.0</v>
      </c>
      <c r="R3472"/>
      <c r="S3472"/>
      <c r="T3472"/>
      <c r="U3472"/>
      <c r="V3472"/>
      <c r="W3472">
        <v>18</v>
      </c>
    </row>
    <row r="3473" spans="1:23">
      <c r="A3473"/>
      <c r="B3473" t="s">
        <v>84</v>
      </c>
      <c r="C3473" t="s">
        <v>84</v>
      </c>
      <c r="D3473" t="s">
        <v>33</v>
      </c>
      <c r="E3473" t="s">
        <v>34</v>
      </c>
      <c r="F3473" t="str">
        <f>"0003770"</f>
        <v>0003770</v>
      </c>
      <c r="G3473">
        <v>1</v>
      </c>
      <c r="H3473" t="str">
        <f>"00000000"</f>
        <v>00000000</v>
      </c>
      <c r="I3473" t="s">
        <v>35</v>
      </c>
      <c r="J3473"/>
      <c r="K3473">
        <v>66.11</v>
      </c>
      <c r="L3473">
        <v>8.09</v>
      </c>
      <c r="M3473"/>
      <c r="N3473"/>
      <c r="O3473">
        <v>11.9</v>
      </c>
      <c r="P3473">
        <v>0.4</v>
      </c>
      <c r="Q3473">
        <v>86.49</v>
      </c>
      <c r="R3473"/>
      <c r="S3473"/>
      <c r="T3473"/>
      <c r="U3473"/>
      <c r="V3473"/>
      <c r="W3473">
        <v>18</v>
      </c>
    </row>
    <row r="3474" spans="1:23">
      <c r="A3474"/>
      <c r="B3474" t="s">
        <v>84</v>
      </c>
      <c r="C3474" t="s">
        <v>84</v>
      </c>
      <c r="D3474" t="s">
        <v>33</v>
      </c>
      <c r="E3474" t="s">
        <v>34</v>
      </c>
      <c r="F3474" t="str">
        <f>"0003771"</f>
        <v>0003771</v>
      </c>
      <c r="G3474">
        <v>1</v>
      </c>
      <c r="H3474" t="str">
        <f>"00000000"</f>
        <v>00000000</v>
      </c>
      <c r="I3474" t="s">
        <v>35</v>
      </c>
      <c r="J3474"/>
      <c r="K3474">
        <v>6.69</v>
      </c>
      <c r="L3474">
        <v>0.0</v>
      </c>
      <c r="M3474"/>
      <c r="N3474"/>
      <c r="O3474">
        <v>1.21</v>
      </c>
      <c r="P3474">
        <v>0.0</v>
      </c>
      <c r="Q3474">
        <v>7.9</v>
      </c>
      <c r="R3474"/>
      <c r="S3474"/>
      <c r="T3474"/>
      <c r="U3474"/>
      <c r="V3474"/>
      <c r="W3474">
        <v>18</v>
      </c>
    </row>
    <row r="3475" spans="1:23">
      <c r="A3475"/>
      <c r="B3475" t="s">
        <v>84</v>
      </c>
      <c r="C3475" t="s">
        <v>84</v>
      </c>
      <c r="D3475" t="s">
        <v>33</v>
      </c>
      <c r="E3475" t="s">
        <v>34</v>
      </c>
      <c r="F3475" t="str">
        <f>"0003772"</f>
        <v>0003772</v>
      </c>
      <c r="G3475">
        <v>1</v>
      </c>
      <c r="H3475" t="str">
        <f>"00000000"</f>
        <v>00000000</v>
      </c>
      <c r="I3475" t="s">
        <v>35</v>
      </c>
      <c r="J3475"/>
      <c r="K3475">
        <v>1.86</v>
      </c>
      <c r="L3475">
        <v>0.0</v>
      </c>
      <c r="M3475"/>
      <c r="N3475"/>
      <c r="O3475">
        <v>0.34</v>
      </c>
      <c r="P3475">
        <v>0.0</v>
      </c>
      <c r="Q3475">
        <v>2.2</v>
      </c>
      <c r="R3475"/>
      <c r="S3475"/>
      <c r="T3475"/>
      <c r="U3475"/>
      <c r="V3475"/>
      <c r="W3475">
        <v>18</v>
      </c>
    </row>
    <row r="3476" spans="1:23">
      <c r="A3476"/>
      <c r="B3476" t="s">
        <v>84</v>
      </c>
      <c r="C3476" t="s">
        <v>84</v>
      </c>
      <c r="D3476" t="s">
        <v>33</v>
      </c>
      <c r="E3476" t="s">
        <v>34</v>
      </c>
      <c r="F3476" t="str">
        <f>"0003773"</f>
        <v>0003773</v>
      </c>
      <c r="G3476">
        <v>1</v>
      </c>
      <c r="H3476" t="str">
        <f>"00000000"</f>
        <v>00000000</v>
      </c>
      <c r="I3476" t="s">
        <v>35</v>
      </c>
      <c r="J3476"/>
      <c r="K3476">
        <v>18.98</v>
      </c>
      <c r="L3476">
        <v>0.0</v>
      </c>
      <c r="M3476"/>
      <c r="N3476"/>
      <c r="O3476">
        <v>3.42</v>
      </c>
      <c r="P3476">
        <v>0.0</v>
      </c>
      <c r="Q3476">
        <v>22.4</v>
      </c>
      <c r="R3476"/>
      <c r="S3476"/>
      <c r="T3476"/>
      <c r="U3476"/>
      <c r="V3476"/>
      <c r="W3476">
        <v>18</v>
      </c>
    </row>
    <row r="3477" spans="1:23">
      <c r="A3477"/>
      <c r="B3477" t="s">
        <v>84</v>
      </c>
      <c r="C3477" t="s">
        <v>84</v>
      </c>
      <c r="D3477" t="s">
        <v>33</v>
      </c>
      <c r="E3477" t="s">
        <v>34</v>
      </c>
      <c r="F3477" t="str">
        <f>"0003774"</f>
        <v>0003774</v>
      </c>
      <c r="G3477">
        <v>1</v>
      </c>
      <c r="H3477" t="str">
        <f>"00000000"</f>
        <v>00000000</v>
      </c>
      <c r="I3477" t="s">
        <v>35</v>
      </c>
      <c r="J3477"/>
      <c r="K3477">
        <v>0.02</v>
      </c>
      <c r="L3477">
        <v>9.26</v>
      </c>
      <c r="M3477"/>
      <c r="N3477"/>
      <c r="O3477">
        <v>0.0</v>
      </c>
      <c r="P3477">
        <v>0.2</v>
      </c>
      <c r="Q3477">
        <v>9.48</v>
      </c>
      <c r="R3477"/>
      <c r="S3477"/>
      <c r="T3477"/>
      <c r="U3477"/>
      <c r="V3477"/>
      <c r="W3477">
        <v>18</v>
      </c>
    </row>
    <row r="3478" spans="1:23">
      <c r="A3478"/>
      <c r="B3478" t="s">
        <v>84</v>
      </c>
      <c r="C3478" t="s">
        <v>84</v>
      </c>
      <c r="D3478" t="s">
        <v>33</v>
      </c>
      <c r="E3478" t="s">
        <v>34</v>
      </c>
      <c r="F3478" t="str">
        <f>"0003775"</f>
        <v>0003775</v>
      </c>
      <c r="G3478">
        <v>1</v>
      </c>
      <c r="H3478" t="str">
        <f>"00000000"</f>
        <v>00000000</v>
      </c>
      <c r="I3478" t="s">
        <v>35</v>
      </c>
      <c r="J3478"/>
      <c r="K3478">
        <v>16.86</v>
      </c>
      <c r="L3478">
        <v>0.0</v>
      </c>
      <c r="M3478"/>
      <c r="N3478"/>
      <c r="O3478">
        <v>3.04</v>
      </c>
      <c r="P3478">
        <v>0.0</v>
      </c>
      <c r="Q3478">
        <v>19.9</v>
      </c>
      <c r="R3478"/>
      <c r="S3478"/>
      <c r="T3478"/>
      <c r="U3478"/>
      <c r="V3478"/>
      <c r="W3478">
        <v>18</v>
      </c>
    </row>
    <row r="3479" spans="1:23">
      <c r="A3479"/>
      <c r="B3479" t="s">
        <v>84</v>
      </c>
      <c r="C3479" t="s">
        <v>84</v>
      </c>
      <c r="D3479" t="s">
        <v>33</v>
      </c>
      <c r="E3479" t="s">
        <v>34</v>
      </c>
      <c r="F3479" t="str">
        <f>"0003776"</f>
        <v>0003776</v>
      </c>
      <c r="G3479">
        <v>1</v>
      </c>
      <c r="H3479" t="str">
        <f>"00000000"</f>
        <v>00000000</v>
      </c>
      <c r="I3479" t="s">
        <v>35</v>
      </c>
      <c r="J3479"/>
      <c r="K3479">
        <v>11.28</v>
      </c>
      <c r="L3479">
        <v>0.0</v>
      </c>
      <c r="M3479"/>
      <c r="N3479"/>
      <c r="O3479">
        <v>2.03</v>
      </c>
      <c r="P3479">
        <v>0.2</v>
      </c>
      <c r="Q3479">
        <v>13.51</v>
      </c>
      <c r="R3479"/>
      <c r="S3479"/>
      <c r="T3479"/>
      <c r="U3479"/>
      <c r="V3479"/>
      <c r="W3479">
        <v>18</v>
      </c>
    </row>
    <row r="3480" spans="1:23">
      <c r="A3480"/>
      <c r="B3480" t="s">
        <v>84</v>
      </c>
      <c r="C3480" t="s">
        <v>84</v>
      </c>
      <c r="D3480" t="s">
        <v>33</v>
      </c>
      <c r="E3480" t="s">
        <v>34</v>
      </c>
      <c r="F3480" t="str">
        <f>"0003777"</f>
        <v>0003777</v>
      </c>
      <c r="G3480">
        <v>1</v>
      </c>
      <c r="H3480" t="str">
        <f>"00000000"</f>
        <v>00000000</v>
      </c>
      <c r="I3480" t="s">
        <v>35</v>
      </c>
      <c r="J3480"/>
      <c r="K3480">
        <v>0.02</v>
      </c>
      <c r="L3480">
        <v>0.0</v>
      </c>
      <c r="M3480"/>
      <c r="N3480"/>
      <c r="O3480">
        <v>0.0</v>
      </c>
      <c r="P3480">
        <v>0.2</v>
      </c>
      <c r="Q3480">
        <v>0.22</v>
      </c>
      <c r="R3480"/>
      <c r="S3480"/>
      <c r="T3480"/>
      <c r="U3480"/>
      <c r="V3480"/>
      <c r="W3480">
        <v>18</v>
      </c>
    </row>
    <row r="3481" spans="1:23">
      <c r="A3481"/>
      <c r="B3481" t="s">
        <v>84</v>
      </c>
      <c r="C3481" t="s">
        <v>84</v>
      </c>
      <c r="D3481" t="s">
        <v>33</v>
      </c>
      <c r="E3481" t="s">
        <v>34</v>
      </c>
      <c r="F3481" t="str">
        <f>"0003778"</f>
        <v>0003778</v>
      </c>
      <c r="G3481">
        <v>1</v>
      </c>
      <c r="H3481" t="str">
        <f>"00000000"</f>
        <v>00000000</v>
      </c>
      <c r="I3481" t="s">
        <v>35</v>
      </c>
      <c r="J3481"/>
      <c r="K3481">
        <v>16.86</v>
      </c>
      <c r="L3481">
        <v>0.0</v>
      </c>
      <c r="M3481"/>
      <c r="N3481"/>
      <c r="O3481">
        <v>3.04</v>
      </c>
      <c r="P3481">
        <v>0.0</v>
      </c>
      <c r="Q3481">
        <v>19.9</v>
      </c>
      <c r="R3481"/>
      <c r="S3481"/>
      <c r="T3481"/>
      <c r="U3481"/>
      <c r="V3481"/>
      <c r="W3481">
        <v>18</v>
      </c>
    </row>
    <row r="3482" spans="1:23">
      <c r="A3482"/>
      <c r="B3482" t="s">
        <v>84</v>
      </c>
      <c r="C3482" t="s">
        <v>84</v>
      </c>
      <c r="D3482" t="s">
        <v>33</v>
      </c>
      <c r="E3482" t="s">
        <v>34</v>
      </c>
      <c r="F3482" t="str">
        <f>"0003779"</f>
        <v>0003779</v>
      </c>
      <c r="G3482">
        <v>1</v>
      </c>
      <c r="H3482" t="str">
        <f>"00000000"</f>
        <v>00000000</v>
      </c>
      <c r="I3482" t="s">
        <v>35</v>
      </c>
      <c r="J3482"/>
      <c r="K3482">
        <v>15.42</v>
      </c>
      <c r="L3482">
        <v>0.0</v>
      </c>
      <c r="M3482"/>
      <c r="N3482"/>
      <c r="O3482">
        <v>2.78</v>
      </c>
      <c r="P3482">
        <v>0.0</v>
      </c>
      <c r="Q3482">
        <v>18.2</v>
      </c>
      <c r="R3482"/>
      <c r="S3482"/>
      <c r="T3482"/>
      <c r="U3482"/>
      <c r="V3482"/>
      <c r="W3482">
        <v>18</v>
      </c>
    </row>
    <row r="3483" spans="1:23">
      <c r="A3483"/>
      <c r="B3483" t="s">
        <v>84</v>
      </c>
      <c r="C3483" t="s">
        <v>84</v>
      </c>
      <c r="D3483" t="s">
        <v>33</v>
      </c>
      <c r="E3483" t="s">
        <v>34</v>
      </c>
      <c r="F3483" t="str">
        <f>"0003780"</f>
        <v>0003780</v>
      </c>
      <c r="G3483">
        <v>1</v>
      </c>
      <c r="H3483" t="str">
        <f>"00000000"</f>
        <v>00000000</v>
      </c>
      <c r="I3483" t="s">
        <v>35</v>
      </c>
      <c r="J3483"/>
      <c r="K3483">
        <v>36.59</v>
      </c>
      <c r="L3483">
        <v>0.0</v>
      </c>
      <c r="M3483"/>
      <c r="N3483"/>
      <c r="O3483">
        <v>6.59</v>
      </c>
      <c r="P3483">
        <v>0.4</v>
      </c>
      <c r="Q3483">
        <v>43.58</v>
      </c>
      <c r="R3483"/>
      <c r="S3483"/>
      <c r="T3483"/>
      <c r="U3483"/>
      <c r="V3483"/>
      <c r="W3483">
        <v>18</v>
      </c>
    </row>
    <row r="3484" spans="1:23">
      <c r="A3484"/>
      <c r="B3484" t="s">
        <v>84</v>
      </c>
      <c r="C3484" t="s">
        <v>84</v>
      </c>
      <c r="D3484" t="s">
        <v>33</v>
      </c>
      <c r="E3484" t="s">
        <v>34</v>
      </c>
      <c r="F3484" t="str">
        <f>"0003781"</f>
        <v>0003781</v>
      </c>
      <c r="G3484">
        <v>1</v>
      </c>
      <c r="H3484" t="str">
        <f>"00000000"</f>
        <v>00000000</v>
      </c>
      <c r="I3484" t="s">
        <v>35</v>
      </c>
      <c r="J3484"/>
      <c r="K3484">
        <v>18.49</v>
      </c>
      <c r="L3484">
        <v>0.0</v>
      </c>
      <c r="M3484"/>
      <c r="N3484"/>
      <c r="O3484">
        <v>3.33</v>
      </c>
      <c r="P3484">
        <v>0.2</v>
      </c>
      <c r="Q3484">
        <v>22.02</v>
      </c>
      <c r="R3484"/>
      <c r="S3484"/>
      <c r="T3484"/>
      <c r="U3484"/>
      <c r="V3484"/>
      <c r="W3484">
        <v>18</v>
      </c>
    </row>
    <row r="3485" spans="1:23">
      <c r="A3485"/>
      <c r="B3485" t="s">
        <v>84</v>
      </c>
      <c r="C3485" t="s">
        <v>84</v>
      </c>
      <c r="D3485" t="s">
        <v>33</v>
      </c>
      <c r="E3485" t="s">
        <v>34</v>
      </c>
      <c r="F3485" t="str">
        <f>"0003782"</f>
        <v>0003782</v>
      </c>
      <c r="G3485">
        <v>1</v>
      </c>
      <c r="H3485" t="str">
        <f>"00000000"</f>
        <v>00000000</v>
      </c>
      <c r="I3485" t="s">
        <v>35</v>
      </c>
      <c r="J3485"/>
      <c r="K3485">
        <v>71.03</v>
      </c>
      <c r="L3485">
        <v>0.0</v>
      </c>
      <c r="M3485"/>
      <c r="N3485"/>
      <c r="O3485">
        <v>12.79</v>
      </c>
      <c r="P3485">
        <v>0.2</v>
      </c>
      <c r="Q3485">
        <v>84.02</v>
      </c>
      <c r="R3485"/>
      <c r="S3485"/>
      <c r="T3485"/>
      <c r="U3485"/>
      <c r="V3485"/>
      <c r="W3485">
        <v>18</v>
      </c>
    </row>
    <row r="3486" spans="1:23">
      <c r="A3486"/>
      <c r="B3486" t="s">
        <v>84</v>
      </c>
      <c r="C3486" t="s">
        <v>84</v>
      </c>
      <c r="D3486" t="s">
        <v>33</v>
      </c>
      <c r="E3486" t="s">
        <v>34</v>
      </c>
      <c r="F3486" t="str">
        <f>"0003783"</f>
        <v>0003783</v>
      </c>
      <c r="G3486">
        <v>1</v>
      </c>
      <c r="H3486" t="str">
        <f>"00000000"</f>
        <v>00000000</v>
      </c>
      <c r="I3486" t="s">
        <v>35</v>
      </c>
      <c r="J3486"/>
      <c r="K3486">
        <v>28.82</v>
      </c>
      <c r="L3486">
        <v>0.38</v>
      </c>
      <c r="M3486"/>
      <c r="N3486"/>
      <c r="O3486">
        <v>5.19</v>
      </c>
      <c r="P3486">
        <v>0.2</v>
      </c>
      <c r="Q3486">
        <v>34.59</v>
      </c>
      <c r="R3486"/>
      <c r="S3486"/>
      <c r="T3486"/>
      <c r="U3486"/>
      <c r="V3486"/>
      <c r="W3486">
        <v>18</v>
      </c>
    </row>
    <row r="3487" spans="1:23">
      <c r="A3487"/>
      <c r="B3487" t="s">
        <v>84</v>
      </c>
      <c r="C3487" t="s">
        <v>84</v>
      </c>
      <c r="D3487" t="s">
        <v>33</v>
      </c>
      <c r="E3487" t="s">
        <v>34</v>
      </c>
      <c r="F3487" t="str">
        <f>"0003784"</f>
        <v>0003784</v>
      </c>
      <c r="G3487">
        <v>1</v>
      </c>
      <c r="H3487" t="str">
        <f>"00000000"</f>
        <v>00000000</v>
      </c>
      <c r="I3487" t="s">
        <v>35</v>
      </c>
      <c r="J3487"/>
      <c r="K3487">
        <v>13.14</v>
      </c>
      <c r="L3487">
        <v>0.0</v>
      </c>
      <c r="M3487"/>
      <c r="N3487"/>
      <c r="O3487">
        <v>2.36</v>
      </c>
      <c r="P3487">
        <v>0.0</v>
      </c>
      <c r="Q3487">
        <v>15.5</v>
      </c>
      <c r="R3487"/>
      <c r="S3487"/>
      <c r="T3487"/>
      <c r="U3487"/>
      <c r="V3487"/>
      <c r="W3487">
        <v>18</v>
      </c>
    </row>
    <row r="3488" spans="1:23">
      <c r="A3488"/>
      <c r="B3488" t="s">
        <v>84</v>
      </c>
      <c r="C3488" t="s">
        <v>84</v>
      </c>
      <c r="D3488" t="s">
        <v>33</v>
      </c>
      <c r="E3488" t="s">
        <v>34</v>
      </c>
      <c r="F3488" t="str">
        <f>"0003785"</f>
        <v>0003785</v>
      </c>
      <c r="G3488">
        <v>1</v>
      </c>
      <c r="H3488" t="str">
        <f>"00000000"</f>
        <v>00000000</v>
      </c>
      <c r="I3488" t="s">
        <v>35</v>
      </c>
      <c r="J3488"/>
      <c r="K3488">
        <v>1.61</v>
      </c>
      <c r="L3488">
        <v>0.0</v>
      </c>
      <c r="M3488"/>
      <c r="N3488"/>
      <c r="O3488">
        <v>0.29</v>
      </c>
      <c r="P3488">
        <v>0.0</v>
      </c>
      <c r="Q3488">
        <v>1.9</v>
      </c>
      <c r="R3488"/>
      <c r="S3488"/>
      <c r="T3488"/>
      <c r="U3488"/>
      <c r="V3488"/>
      <c r="W3488">
        <v>18</v>
      </c>
    </row>
    <row r="3489" spans="1:23">
      <c r="A3489"/>
      <c r="B3489" t="s">
        <v>84</v>
      </c>
      <c r="C3489" t="s">
        <v>84</v>
      </c>
      <c r="D3489" t="s">
        <v>33</v>
      </c>
      <c r="E3489" t="s">
        <v>34</v>
      </c>
      <c r="F3489" t="str">
        <f>"0003786"</f>
        <v>0003786</v>
      </c>
      <c r="G3489">
        <v>1</v>
      </c>
      <c r="H3489" t="str">
        <f>"00000000"</f>
        <v>00000000</v>
      </c>
      <c r="I3489" t="s">
        <v>35</v>
      </c>
      <c r="J3489"/>
      <c r="K3489">
        <v>4.07</v>
      </c>
      <c r="L3489">
        <v>0.0</v>
      </c>
      <c r="M3489"/>
      <c r="N3489"/>
      <c r="O3489">
        <v>0.73</v>
      </c>
      <c r="P3489">
        <v>0.0</v>
      </c>
      <c r="Q3489">
        <v>4.8</v>
      </c>
      <c r="R3489"/>
      <c r="S3489"/>
      <c r="T3489"/>
      <c r="U3489"/>
      <c r="V3489"/>
      <c r="W3489">
        <v>18</v>
      </c>
    </row>
    <row r="3490" spans="1:23">
      <c r="A3490"/>
      <c r="B3490" t="s">
        <v>84</v>
      </c>
      <c r="C3490" t="s">
        <v>84</v>
      </c>
      <c r="D3490" t="s">
        <v>33</v>
      </c>
      <c r="E3490" t="s">
        <v>34</v>
      </c>
      <c r="F3490" t="str">
        <f>"0003787"</f>
        <v>0003787</v>
      </c>
      <c r="G3490">
        <v>1</v>
      </c>
      <c r="H3490" t="str">
        <f>"00000000"</f>
        <v>00000000</v>
      </c>
      <c r="I3490" t="s">
        <v>35</v>
      </c>
      <c r="J3490"/>
      <c r="K3490">
        <v>14.25</v>
      </c>
      <c r="L3490">
        <v>0.0</v>
      </c>
      <c r="M3490"/>
      <c r="N3490"/>
      <c r="O3490">
        <v>2.57</v>
      </c>
      <c r="P3490">
        <v>0.2</v>
      </c>
      <c r="Q3490">
        <v>17.02</v>
      </c>
      <c r="R3490"/>
      <c r="S3490"/>
      <c r="T3490"/>
      <c r="U3490"/>
      <c r="V3490"/>
      <c r="W3490">
        <v>18</v>
      </c>
    </row>
    <row r="3491" spans="1:23">
      <c r="A3491"/>
      <c r="B3491" t="s">
        <v>84</v>
      </c>
      <c r="C3491" t="s">
        <v>84</v>
      </c>
      <c r="D3491" t="s">
        <v>33</v>
      </c>
      <c r="E3491" t="s">
        <v>34</v>
      </c>
      <c r="F3491" t="str">
        <f>"0003788"</f>
        <v>0003788</v>
      </c>
      <c r="G3491">
        <v>1</v>
      </c>
      <c r="H3491" t="str">
        <f>"00000000"</f>
        <v>00000000</v>
      </c>
      <c r="I3491" t="s">
        <v>35</v>
      </c>
      <c r="J3491"/>
      <c r="K3491">
        <v>0.0</v>
      </c>
      <c r="L3491">
        <v>3.42</v>
      </c>
      <c r="M3491"/>
      <c r="N3491"/>
      <c r="O3491">
        <v>0.0</v>
      </c>
      <c r="P3491">
        <v>0.0</v>
      </c>
      <c r="Q3491">
        <v>3.42</v>
      </c>
      <c r="R3491"/>
      <c r="S3491"/>
      <c r="T3491"/>
      <c r="U3491"/>
      <c r="V3491"/>
      <c r="W3491">
        <v>18</v>
      </c>
    </row>
    <row r="3492" spans="1:23">
      <c r="A3492"/>
      <c r="B3492" t="s">
        <v>84</v>
      </c>
      <c r="C3492" t="s">
        <v>84</v>
      </c>
      <c r="D3492" t="s">
        <v>33</v>
      </c>
      <c r="E3492" t="s">
        <v>34</v>
      </c>
      <c r="F3492" t="str">
        <f>"0003789"</f>
        <v>0003789</v>
      </c>
      <c r="G3492">
        <v>1</v>
      </c>
      <c r="H3492" t="str">
        <f>"00000000"</f>
        <v>00000000</v>
      </c>
      <c r="I3492" t="s">
        <v>35</v>
      </c>
      <c r="J3492"/>
      <c r="K3492">
        <v>87.92</v>
      </c>
      <c r="L3492">
        <v>0.0</v>
      </c>
      <c r="M3492"/>
      <c r="N3492"/>
      <c r="O3492">
        <v>15.82</v>
      </c>
      <c r="P3492">
        <v>0.4</v>
      </c>
      <c r="Q3492">
        <v>104.14</v>
      </c>
      <c r="R3492"/>
      <c r="S3492"/>
      <c r="T3492"/>
      <c r="U3492"/>
      <c r="V3492"/>
      <c r="W3492">
        <v>18</v>
      </c>
    </row>
    <row r="3493" spans="1:23">
      <c r="A3493"/>
      <c r="B3493" t="s">
        <v>84</v>
      </c>
      <c r="C3493" t="s">
        <v>84</v>
      </c>
      <c r="D3493" t="s">
        <v>33</v>
      </c>
      <c r="E3493" t="s">
        <v>34</v>
      </c>
      <c r="F3493" t="str">
        <f>"0003790"</f>
        <v>0003790</v>
      </c>
      <c r="G3493">
        <v>1</v>
      </c>
      <c r="H3493" t="str">
        <f>"00000000"</f>
        <v>00000000</v>
      </c>
      <c r="I3493" t="s">
        <v>35</v>
      </c>
      <c r="J3493"/>
      <c r="K3493">
        <v>33.91</v>
      </c>
      <c r="L3493">
        <v>0.0</v>
      </c>
      <c r="M3493"/>
      <c r="N3493"/>
      <c r="O3493">
        <v>6.1</v>
      </c>
      <c r="P3493">
        <v>0.2</v>
      </c>
      <c r="Q3493">
        <v>40.21</v>
      </c>
      <c r="R3493"/>
      <c r="S3493"/>
      <c r="T3493"/>
      <c r="U3493"/>
      <c r="V3493"/>
      <c r="W3493">
        <v>18</v>
      </c>
    </row>
    <row r="3494" spans="1:23">
      <c r="A3494"/>
      <c r="B3494" t="s">
        <v>84</v>
      </c>
      <c r="C3494" t="s">
        <v>84</v>
      </c>
      <c r="D3494" t="s">
        <v>33</v>
      </c>
      <c r="E3494" t="s">
        <v>34</v>
      </c>
      <c r="F3494" t="str">
        <f>"0003791"</f>
        <v>0003791</v>
      </c>
      <c r="G3494">
        <v>1</v>
      </c>
      <c r="H3494" t="str">
        <f>"00000000"</f>
        <v>00000000</v>
      </c>
      <c r="I3494" t="s">
        <v>35</v>
      </c>
      <c r="J3494"/>
      <c r="K3494">
        <v>7.12</v>
      </c>
      <c r="L3494">
        <v>0.0</v>
      </c>
      <c r="M3494"/>
      <c r="N3494"/>
      <c r="O3494">
        <v>1.28</v>
      </c>
      <c r="P3494">
        <v>0.0</v>
      </c>
      <c r="Q3494">
        <v>8.4</v>
      </c>
      <c r="R3494"/>
      <c r="S3494"/>
      <c r="T3494"/>
      <c r="U3494"/>
      <c r="V3494"/>
      <c r="W3494">
        <v>18</v>
      </c>
    </row>
    <row r="3495" spans="1:23">
      <c r="A3495"/>
      <c r="B3495" t="s">
        <v>84</v>
      </c>
      <c r="C3495" t="s">
        <v>84</v>
      </c>
      <c r="D3495" t="s">
        <v>33</v>
      </c>
      <c r="E3495" t="s">
        <v>34</v>
      </c>
      <c r="F3495" t="str">
        <f>"0003792"</f>
        <v>0003792</v>
      </c>
      <c r="G3495">
        <v>1</v>
      </c>
      <c r="H3495" t="str">
        <f>"00000000"</f>
        <v>00000000</v>
      </c>
      <c r="I3495" t="s">
        <v>35</v>
      </c>
      <c r="J3495"/>
      <c r="K3495">
        <v>1.53</v>
      </c>
      <c r="L3495">
        <v>0.0</v>
      </c>
      <c r="M3495"/>
      <c r="N3495"/>
      <c r="O3495">
        <v>0.27</v>
      </c>
      <c r="P3495">
        <v>0.0</v>
      </c>
      <c r="Q3495">
        <v>1.8</v>
      </c>
      <c r="R3495"/>
      <c r="S3495"/>
      <c r="T3495"/>
      <c r="U3495"/>
      <c r="V3495"/>
      <c r="W3495">
        <v>18</v>
      </c>
    </row>
    <row r="3496" spans="1:23">
      <c r="A3496"/>
      <c r="B3496" t="s">
        <v>84</v>
      </c>
      <c r="C3496" t="s">
        <v>84</v>
      </c>
      <c r="D3496" t="s">
        <v>33</v>
      </c>
      <c r="E3496" t="s">
        <v>34</v>
      </c>
      <c r="F3496" t="str">
        <f>"0003793"</f>
        <v>0003793</v>
      </c>
      <c r="G3496">
        <v>1</v>
      </c>
      <c r="H3496" t="str">
        <f>"00000000"</f>
        <v>00000000</v>
      </c>
      <c r="I3496" t="s">
        <v>35</v>
      </c>
      <c r="J3496"/>
      <c r="K3496">
        <v>5.08</v>
      </c>
      <c r="L3496">
        <v>0.0</v>
      </c>
      <c r="M3496"/>
      <c r="N3496"/>
      <c r="O3496">
        <v>0.92</v>
      </c>
      <c r="P3496">
        <v>0.0</v>
      </c>
      <c r="Q3496">
        <v>6.0</v>
      </c>
      <c r="R3496"/>
      <c r="S3496"/>
      <c r="T3496"/>
      <c r="U3496"/>
      <c r="V3496"/>
      <c r="W3496">
        <v>18</v>
      </c>
    </row>
    <row r="3497" spans="1:23">
      <c r="A3497"/>
      <c r="B3497" t="s">
        <v>84</v>
      </c>
      <c r="C3497" t="s">
        <v>84</v>
      </c>
      <c r="D3497" t="s">
        <v>33</v>
      </c>
      <c r="E3497" t="s">
        <v>34</v>
      </c>
      <c r="F3497" t="str">
        <f>"0003794"</f>
        <v>0003794</v>
      </c>
      <c r="G3497">
        <v>1</v>
      </c>
      <c r="H3497" t="str">
        <f>"00000000"</f>
        <v>00000000</v>
      </c>
      <c r="I3497" t="s">
        <v>35</v>
      </c>
      <c r="J3497"/>
      <c r="K3497">
        <v>10.51</v>
      </c>
      <c r="L3497">
        <v>0.0</v>
      </c>
      <c r="M3497"/>
      <c r="N3497"/>
      <c r="O3497">
        <v>1.89</v>
      </c>
      <c r="P3497">
        <v>0.0</v>
      </c>
      <c r="Q3497">
        <v>12.4</v>
      </c>
      <c r="R3497"/>
      <c r="S3497"/>
      <c r="T3497"/>
      <c r="U3497"/>
      <c r="V3497"/>
      <c r="W3497">
        <v>18</v>
      </c>
    </row>
    <row r="3498" spans="1:23">
      <c r="A3498"/>
      <c r="B3498" t="s">
        <v>84</v>
      </c>
      <c r="C3498" t="s">
        <v>84</v>
      </c>
      <c r="D3498" t="s">
        <v>33</v>
      </c>
      <c r="E3498" t="s">
        <v>34</v>
      </c>
      <c r="F3498" t="str">
        <f>"0003795"</f>
        <v>0003795</v>
      </c>
      <c r="G3498">
        <v>1</v>
      </c>
      <c r="H3498" t="str">
        <f>"00000000"</f>
        <v>00000000</v>
      </c>
      <c r="I3498" t="s">
        <v>35</v>
      </c>
      <c r="J3498"/>
      <c r="K3498">
        <v>2.03</v>
      </c>
      <c r="L3498">
        <v>0.0</v>
      </c>
      <c r="M3498"/>
      <c r="N3498"/>
      <c r="O3498">
        <v>0.37</v>
      </c>
      <c r="P3498">
        <v>0.0</v>
      </c>
      <c r="Q3498">
        <v>2.4</v>
      </c>
      <c r="R3498"/>
      <c r="S3498"/>
      <c r="T3498"/>
      <c r="U3498"/>
      <c r="V3498"/>
      <c r="W3498">
        <v>18</v>
      </c>
    </row>
    <row r="3499" spans="1:23">
      <c r="A3499"/>
      <c r="B3499" t="s">
        <v>84</v>
      </c>
      <c r="C3499" t="s">
        <v>84</v>
      </c>
      <c r="D3499" t="s">
        <v>33</v>
      </c>
      <c r="E3499" t="s">
        <v>34</v>
      </c>
      <c r="F3499" t="str">
        <f>"0003796"</f>
        <v>0003796</v>
      </c>
      <c r="G3499">
        <v>1</v>
      </c>
      <c r="H3499" t="str">
        <f>"00000000"</f>
        <v>00000000</v>
      </c>
      <c r="I3499" t="s">
        <v>35</v>
      </c>
      <c r="J3499"/>
      <c r="K3499">
        <v>42.64</v>
      </c>
      <c r="L3499">
        <v>0.0</v>
      </c>
      <c r="M3499"/>
      <c r="N3499"/>
      <c r="O3499">
        <v>7.67</v>
      </c>
      <c r="P3499">
        <v>0.2</v>
      </c>
      <c r="Q3499">
        <v>50.51</v>
      </c>
      <c r="R3499"/>
      <c r="S3499"/>
      <c r="T3499"/>
      <c r="U3499"/>
      <c r="V3499"/>
      <c r="W3499">
        <v>18</v>
      </c>
    </row>
    <row r="3500" spans="1:23">
      <c r="A3500"/>
      <c r="B3500" t="s">
        <v>84</v>
      </c>
      <c r="C3500" t="s">
        <v>84</v>
      </c>
      <c r="D3500" t="s">
        <v>33</v>
      </c>
      <c r="E3500" t="s">
        <v>34</v>
      </c>
      <c r="F3500" t="str">
        <f>"0003797"</f>
        <v>0003797</v>
      </c>
      <c r="G3500">
        <v>1</v>
      </c>
      <c r="H3500" t="str">
        <f>"00000000"</f>
        <v>00000000</v>
      </c>
      <c r="I3500" t="s">
        <v>35</v>
      </c>
      <c r="J3500"/>
      <c r="K3500">
        <v>1.53</v>
      </c>
      <c r="L3500">
        <v>0.0</v>
      </c>
      <c r="M3500"/>
      <c r="N3500"/>
      <c r="O3500">
        <v>0.27</v>
      </c>
      <c r="P3500">
        <v>0.0</v>
      </c>
      <c r="Q3500">
        <v>1.8</v>
      </c>
      <c r="R3500"/>
      <c r="S3500"/>
      <c r="T3500"/>
      <c r="U3500"/>
      <c r="V3500"/>
      <c r="W3500">
        <v>18</v>
      </c>
    </row>
    <row r="3501" spans="1:23">
      <c r="A3501"/>
      <c r="B3501" t="s">
        <v>84</v>
      </c>
      <c r="C3501" t="s">
        <v>84</v>
      </c>
      <c r="D3501" t="s">
        <v>33</v>
      </c>
      <c r="E3501" t="s">
        <v>34</v>
      </c>
      <c r="F3501" t="str">
        <f>"0003798"</f>
        <v>0003798</v>
      </c>
      <c r="G3501">
        <v>1</v>
      </c>
      <c r="H3501" t="str">
        <f>"00000000"</f>
        <v>00000000</v>
      </c>
      <c r="I3501" t="s">
        <v>35</v>
      </c>
      <c r="J3501"/>
      <c r="K3501">
        <v>2.97</v>
      </c>
      <c r="L3501">
        <v>0.0</v>
      </c>
      <c r="M3501"/>
      <c r="N3501"/>
      <c r="O3501">
        <v>0.53</v>
      </c>
      <c r="P3501">
        <v>0.0</v>
      </c>
      <c r="Q3501">
        <v>3.5</v>
      </c>
      <c r="R3501"/>
      <c r="S3501"/>
      <c r="T3501"/>
      <c r="U3501"/>
      <c r="V3501"/>
      <c r="W3501">
        <v>18</v>
      </c>
    </row>
    <row r="3502" spans="1:23">
      <c r="A3502"/>
      <c r="B3502" t="s">
        <v>84</v>
      </c>
      <c r="C3502" t="s">
        <v>84</v>
      </c>
      <c r="D3502" t="s">
        <v>33</v>
      </c>
      <c r="E3502" t="s">
        <v>34</v>
      </c>
      <c r="F3502" t="str">
        <f>"0003799"</f>
        <v>0003799</v>
      </c>
      <c r="G3502">
        <v>1</v>
      </c>
      <c r="H3502" t="str">
        <f>"00000000"</f>
        <v>00000000</v>
      </c>
      <c r="I3502" t="s">
        <v>35</v>
      </c>
      <c r="J3502"/>
      <c r="K3502">
        <v>2.12</v>
      </c>
      <c r="L3502">
        <v>0.0</v>
      </c>
      <c r="M3502"/>
      <c r="N3502"/>
      <c r="O3502">
        <v>0.38</v>
      </c>
      <c r="P3502">
        <v>0.0</v>
      </c>
      <c r="Q3502">
        <v>2.5</v>
      </c>
      <c r="R3502"/>
      <c r="S3502"/>
      <c r="T3502"/>
      <c r="U3502"/>
      <c r="V3502"/>
      <c r="W3502">
        <v>18</v>
      </c>
    </row>
    <row r="3503" spans="1:23">
      <c r="A3503"/>
      <c r="B3503" t="s">
        <v>84</v>
      </c>
      <c r="C3503" t="s">
        <v>84</v>
      </c>
      <c r="D3503" t="s">
        <v>33</v>
      </c>
      <c r="E3503" t="s">
        <v>34</v>
      </c>
      <c r="F3503" t="str">
        <f>"0003800"</f>
        <v>0003800</v>
      </c>
      <c r="G3503">
        <v>1</v>
      </c>
      <c r="H3503" t="str">
        <f>"00000000"</f>
        <v>00000000</v>
      </c>
      <c r="I3503" t="s">
        <v>35</v>
      </c>
      <c r="J3503"/>
      <c r="K3503">
        <v>11.03</v>
      </c>
      <c r="L3503">
        <v>0.0</v>
      </c>
      <c r="M3503"/>
      <c r="N3503"/>
      <c r="O3503">
        <v>1.99</v>
      </c>
      <c r="P3503">
        <v>0.2</v>
      </c>
      <c r="Q3503">
        <v>13.22</v>
      </c>
      <c r="R3503"/>
      <c r="S3503"/>
      <c r="T3503"/>
      <c r="U3503"/>
      <c r="V3503"/>
      <c r="W3503">
        <v>18</v>
      </c>
    </row>
    <row r="3504" spans="1:23">
      <c r="A3504"/>
      <c r="B3504" t="s">
        <v>84</v>
      </c>
      <c r="C3504" t="s">
        <v>84</v>
      </c>
      <c r="D3504" t="s">
        <v>33</v>
      </c>
      <c r="E3504" t="s">
        <v>34</v>
      </c>
      <c r="F3504" t="str">
        <f>"0003801"</f>
        <v>0003801</v>
      </c>
      <c r="G3504">
        <v>1</v>
      </c>
      <c r="H3504" t="str">
        <f>"00000000"</f>
        <v>00000000</v>
      </c>
      <c r="I3504" t="s">
        <v>35</v>
      </c>
      <c r="J3504"/>
      <c r="K3504">
        <v>95.63</v>
      </c>
      <c r="L3504">
        <v>0.0</v>
      </c>
      <c r="M3504"/>
      <c r="N3504"/>
      <c r="O3504">
        <v>17.21</v>
      </c>
      <c r="P3504">
        <v>0.4</v>
      </c>
      <c r="Q3504">
        <v>113.24</v>
      </c>
      <c r="R3504"/>
      <c r="S3504"/>
      <c r="T3504"/>
      <c r="U3504"/>
      <c r="V3504"/>
      <c r="W3504">
        <v>18</v>
      </c>
    </row>
    <row r="3505" spans="1:23">
      <c r="A3505"/>
      <c r="B3505" t="s">
        <v>84</v>
      </c>
      <c r="C3505" t="s">
        <v>84</v>
      </c>
      <c r="D3505" t="s">
        <v>33</v>
      </c>
      <c r="E3505" t="s">
        <v>34</v>
      </c>
      <c r="F3505" t="str">
        <f>"0003802"</f>
        <v>0003802</v>
      </c>
      <c r="G3505">
        <v>1</v>
      </c>
      <c r="H3505" t="str">
        <f>"00000000"</f>
        <v>00000000</v>
      </c>
      <c r="I3505" t="s">
        <v>35</v>
      </c>
      <c r="J3505"/>
      <c r="K3505">
        <v>13.56</v>
      </c>
      <c r="L3505">
        <v>0.0</v>
      </c>
      <c r="M3505"/>
      <c r="N3505"/>
      <c r="O3505">
        <v>2.44</v>
      </c>
      <c r="P3505">
        <v>0.0</v>
      </c>
      <c r="Q3505">
        <v>16.0</v>
      </c>
      <c r="R3505"/>
      <c r="S3505"/>
      <c r="T3505"/>
      <c r="U3505"/>
      <c r="V3505"/>
      <c r="W3505">
        <v>18</v>
      </c>
    </row>
    <row r="3506" spans="1:23">
      <c r="A3506"/>
      <c r="B3506" t="s">
        <v>84</v>
      </c>
      <c r="C3506" t="s">
        <v>84</v>
      </c>
      <c r="D3506" t="s">
        <v>33</v>
      </c>
      <c r="E3506" t="s">
        <v>34</v>
      </c>
      <c r="F3506" t="str">
        <f>"0003803"</f>
        <v>0003803</v>
      </c>
      <c r="G3506">
        <v>1</v>
      </c>
      <c r="H3506" t="str">
        <f>"00000000"</f>
        <v>00000000</v>
      </c>
      <c r="I3506" t="s">
        <v>35</v>
      </c>
      <c r="J3506"/>
      <c r="K3506">
        <v>20.27</v>
      </c>
      <c r="L3506">
        <v>0.0</v>
      </c>
      <c r="M3506"/>
      <c r="N3506"/>
      <c r="O3506">
        <v>3.65</v>
      </c>
      <c r="P3506">
        <v>0.2</v>
      </c>
      <c r="Q3506">
        <v>24.12</v>
      </c>
      <c r="R3506"/>
      <c r="S3506"/>
      <c r="T3506"/>
      <c r="U3506"/>
      <c r="V3506"/>
      <c r="W3506">
        <v>18</v>
      </c>
    </row>
    <row r="3507" spans="1:23">
      <c r="A3507"/>
      <c r="B3507" t="s">
        <v>84</v>
      </c>
      <c r="C3507" t="s">
        <v>84</v>
      </c>
      <c r="D3507" t="s">
        <v>33</v>
      </c>
      <c r="E3507" t="s">
        <v>34</v>
      </c>
      <c r="F3507" t="str">
        <f>"0003804"</f>
        <v>0003804</v>
      </c>
      <c r="G3507">
        <v>1</v>
      </c>
      <c r="H3507" t="str">
        <f>"00000000"</f>
        <v>00000000</v>
      </c>
      <c r="I3507" t="s">
        <v>35</v>
      </c>
      <c r="J3507"/>
      <c r="K3507">
        <v>0.0</v>
      </c>
      <c r="L3507">
        <v>6.38</v>
      </c>
      <c r="M3507"/>
      <c r="N3507"/>
      <c r="O3507">
        <v>0.0</v>
      </c>
      <c r="P3507">
        <v>0.0</v>
      </c>
      <c r="Q3507">
        <v>6.38</v>
      </c>
      <c r="R3507"/>
      <c r="S3507"/>
      <c r="T3507"/>
      <c r="U3507"/>
      <c r="V3507"/>
      <c r="W3507">
        <v>18</v>
      </c>
    </row>
    <row r="3508" spans="1:23">
      <c r="A3508"/>
      <c r="B3508" t="s">
        <v>84</v>
      </c>
      <c r="C3508" t="s">
        <v>84</v>
      </c>
      <c r="D3508" t="s">
        <v>33</v>
      </c>
      <c r="E3508" t="s">
        <v>34</v>
      </c>
      <c r="F3508" t="str">
        <f>"0003805"</f>
        <v>0003805</v>
      </c>
      <c r="G3508">
        <v>1</v>
      </c>
      <c r="H3508" t="str">
        <f>"00000000"</f>
        <v>00000000</v>
      </c>
      <c r="I3508" t="s">
        <v>35</v>
      </c>
      <c r="J3508"/>
      <c r="K3508">
        <v>1.31</v>
      </c>
      <c r="L3508">
        <v>0.0</v>
      </c>
      <c r="M3508"/>
      <c r="N3508"/>
      <c r="O3508">
        <v>0.24</v>
      </c>
      <c r="P3508">
        <v>0.0</v>
      </c>
      <c r="Q3508">
        <v>1.54</v>
      </c>
      <c r="R3508"/>
      <c r="S3508"/>
      <c r="T3508"/>
      <c r="U3508"/>
      <c r="V3508"/>
      <c r="W3508">
        <v>18</v>
      </c>
    </row>
    <row r="3509" spans="1:23">
      <c r="A3509"/>
      <c r="B3509" t="s">
        <v>84</v>
      </c>
      <c r="C3509" t="s">
        <v>84</v>
      </c>
      <c r="D3509" t="s">
        <v>33</v>
      </c>
      <c r="E3509" t="s">
        <v>34</v>
      </c>
      <c r="F3509" t="str">
        <f>"0003806"</f>
        <v>0003806</v>
      </c>
      <c r="G3509">
        <v>1</v>
      </c>
      <c r="H3509" t="str">
        <f>"00000000"</f>
        <v>00000000</v>
      </c>
      <c r="I3509" t="s">
        <v>35</v>
      </c>
      <c r="J3509"/>
      <c r="K3509">
        <v>1.69</v>
      </c>
      <c r="L3509">
        <v>0.0</v>
      </c>
      <c r="M3509"/>
      <c r="N3509"/>
      <c r="O3509">
        <v>0.3</v>
      </c>
      <c r="P3509">
        <v>0.0</v>
      </c>
      <c r="Q3509">
        <v>1.99</v>
      </c>
      <c r="R3509"/>
      <c r="S3509"/>
      <c r="T3509"/>
      <c r="U3509"/>
      <c r="V3509"/>
      <c r="W3509">
        <v>18</v>
      </c>
    </row>
    <row r="3510" spans="1:23">
      <c r="A3510"/>
      <c r="B3510" t="s">
        <v>84</v>
      </c>
      <c r="C3510" t="s">
        <v>84</v>
      </c>
      <c r="D3510" t="s">
        <v>33</v>
      </c>
      <c r="E3510" t="s">
        <v>34</v>
      </c>
      <c r="F3510" t="str">
        <f>"0003807"</f>
        <v>0003807</v>
      </c>
      <c r="G3510">
        <v>1</v>
      </c>
      <c r="H3510" t="str">
        <f>"00000000"</f>
        <v>00000000</v>
      </c>
      <c r="I3510" t="s">
        <v>35</v>
      </c>
      <c r="J3510"/>
      <c r="K3510">
        <v>4.15</v>
      </c>
      <c r="L3510">
        <v>0.0</v>
      </c>
      <c r="M3510"/>
      <c r="N3510"/>
      <c r="O3510">
        <v>0.75</v>
      </c>
      <c r="P3510">
        <v>0.0</v>
      </c>
      <c r="Q3510">
        <v>4.9</v>
      </c>
      <c r="R3510"/>
      <c r="S3510"/>
      <c r="T3510"/>
      <c r="U3510"/>
      <c r="V3510"/>
      <c r="W3510">
        <v>18</v>
      </c>
    </row>
    <row r="3511" spans="1:23">
      <c r="A3511"/>
      <c r="B3511" t="s">
        <v>84</v>
      </c>
      <c r="C3511" t="s">
        <v>84</v>
      </c>
      <c r="D3511" t="s">
        <v>33</v>
      </c>
      <c r="E3511" t="s">
        <v>34</v>
      </c>
      <c r="F3511" t="str">
        <f>"0003808"</f>
        <v>0003808</v>
      </c>
      <c r="G3511">
        <v>1</v>
      </c>
      <c r="H3511" t="str">
        <f>"00000000"</f>
        <v>00000000</v>
      </c>
      <c r="I3511" t="s">
        <v>35</v>
      </c>
      <c r="J3511"/>
      <c r="K3511">
        <v>25.53</v>
      </c>
      <c r="L3511">
        <v>0.0</v>
      </c>
      <c r="M3511"/>
      <c r="N3511"/>
      <c r="O3511">
        <v>4.59</v>
      </c>
      <c r="P3511">
        <v>0.2</v>
      </c>
      <c r="Q3511">
        <v>30.32</v>
      </c>
      <c r="R3511"/>
      <c r="S3511"/>
      <c r="T3511"/>
      <c r="U3511"/>
      <c r="V3511"/>
      <c r="W3511">
        <v>18</v>
      </c>
    </row>
    <row r="3512" spans="1:23">
      <c r="A3512"/>
      <c r="B3512" t="s">
        <v>84</v>
      </c>
      <c r="C3512" t="s">
        <v>84</v>
      </c>
      <c r="D3512" t="s">
        <v>33</v>
      </c>
      <c r="E3512" t="s">
        <v>34</v>
      </c>
      <c r="F3512" t="str">
        <f>"0003809"</f>
        <v>0003809</v>
      </c>
      <c r="G3512">
        <v>1</v>
      </c>
      <c r="H3512" t="str">
        <f>"00000000"</f>
        <v>00000000</v>
      </c>
      <c r="I3512" t="s">
        <v>35</v>
      </c>
      <c r="J3512"/>
      <c r="K3512">
        <v>9.24</v>
      </c>
      <c r="L3512">
        <v>0.0</v>
      </c>
      <c r="M3512"/>
      <c r="N3512"/>
      <c r="O3512">
        <v>1.66</v>
      </c>
      <c r="P3512">
        <v>0.0</v>
      </c>
      <c r="Q3512">
        <v>10.9</v>
      </c>
      <c r="R3512"/>
      <c r="S3512"/>
      <c r="T3512"/>
      <c r="U3512"/>
      <c r="V3512"/>
      <c r="W3512">
        <v>18</v>
      </c>
    </row>
    <row r="3513" spans="1:23">
      <c r="A3513"/>
      <c r="B3513" t="s">
        <v>84</v>
      </c>
      <c r="C3513" t="s">
        <v>84</v>
      </c>
      <c r="D3513" t="s">
        <v>33</v>
      </c>
      <c r="E3513" t="s">
        <v>34</v>
      </c>
      <c r="F3513" t="str">
        <f>"0003810"</f>
        <v>0003810</v>
      </c>
      <c r="G3513">
        <v>1</v>
      </c>
      <c r="H3513" t="str">
        <f>"00000000"</f>
        <v>00000000</v>
      </c>
      <c r="I3513" t="s">
        <v>35</v>
      </c>
      <c r="J3513"/>
      <c r="K3513">
        <v>64.02</v>
      </c>
      <c r="L3513">
        <v>0.0</v>
      </c>
      <c r="M3513"/>
      <c r="N3513"/>
      <c r="O3513">
        <v>11.52</v>
      </c>
      <c r="P3513">
        <v>0.4</v>
      </c>
      <c r="Q3513">
        <v>75.94</v>
      </c>
      <c r="R3513"/>
      <c r="S3513"/>
      <c r="T3513"/>
      <c r="U3513"/>
      <c r="V3513"/>
      <c r="W3513">
        <v>18</v>
      </c>
    </row>
    <row r="3514" spans="1:23">
      <c r="A3514"/>
      <c r="B3514" t="s">
        <v>84</v>
      </c>
      <c r="C3514" t="s">
        <v>84</v>
      </c>
      <c r="D3514" t="s">
        <v>33</v>
      </c>
      <c r="E3514" t="s">
        <v>34</v>
      </c>
      <c r="F3514" t="str">
        <f>"0003811"</f>
        <v>0003811</v>
      </c>
      <c r="G3514">
        <v>1</v>
      </c>
      <c r="H3514" t="str">
        <f>"00000000"</f>
        <v>00000000</v>
      </c>
      <c r="I3514" t="s">
        <v>35</v>
      </c>
      <c r="J3514"/>
      <c r="K3514">
        <v>11.03</v>
      </c>
      <c r="L3514">
        <v>0.0</v>
      </c>
      <c r="M3514"/>
      <c r="N3514"/>
      <c r="O3514">
        <v>1.99</v>
      </c>
      <c r="P3514">
        <v>0.2</v>
      </c>
      <c r="Q3514">
        <v>13.22</v>
      </c>
      <c r="R3514"/>
      <c r="S3514"/>
      <c r="T3514"/>
      <c r="U3514"/>
      <c r="V3514"/>
      <c r="W3514">
        <v>18</v>
      </c>
    </row>
    <row r="3515" spans="1:23">
      <c r="A3515"/>
      <c r="B3515" t="s">
        <v>84</v>
      </c>
      <c r="C3515" t="s">
        <v>84</v>
      </c>
      <c r="D3515" t="s">
        <v>33</v>
      </c>
      <c r="E3515" t="s">
        <v>34</v>
      </c>
      <c r="F3515" t="str">
        <f>"0003812"</f>
        <v>0003812</v>
      </c>
      <c r="G3515">
        <v>1</v>
      </c>
      <c r="H3515" t="str">
        <f>"00000000"</f>
        <v>00000000</v>
      </c>
      <c r="I3515" t="s">
        <v>35</v>
      </c>
      <c r="J3515"/>
      <c r="K3515">
        <v>30.95</v>
      </c>
      <c r="L3515">
        <v>0.0</v>
      </c>
      <c r="M3515"/>
      <c r="N3515"/>
      <c r="O3515">
        <v>5.57</v>
      </c>
      <c r="P3515">
        <v>0.2</v>
      </c>
      <c r="Q3515">
        <v>36.72</v>
      </c>
      <c r="R3515"/>
      <c r="S3515"/>
      <c r="T3515"/>
      <c r="U3515"/>
      <c r="V3515"/>
      <c r="W3515">
        <v>18</v>
      </c>
    </row>
    <row r="3516" spans="1:23">
      <c r="A3516"/>
      <c r="B3516" t="s">
        <v>84</v>
      </c>
      <c r="C3516" t="s">
        <v>84</v>
      </c>
      <c r="D3516" t="s">
        <v>33</v>
      </c>
      <c r="E3516" t="s">
        <v>34</v>
      </c>
      <c r="F3516" t="str">
        <f>"0003813"</f>
        <v>0003813</v>
      </c>
      <c r="G3516">
        <v>1</v>
      </c>
      <c r="H3516" t="str">
        <f>"00000000"</f>
        <v>00000000</v>
      </c>
      <c r="I3516" t="s">
        <v>35</v>
      </c>
      <c r="J3516"/>
      <c r="K3516">
        <v>7.63</v>
      </c>
      <c r="L3516">
        <v>0.0</v>
      </c>
      <c r="M3516"/>
      <c r="N3516"/>
      <c r="O3516">
        <v>1.37</v>
      </c>
      <c r="P3516">
        <v>0.0</v>
      </c>
      <c r="Q3516">
        <v>9.0</v>
      </c>
      <c r="R3516"/>
      <c r="S3516"/>
      <c r="T3516"/>
      <c r="U3516"/>
      <c r="V3516"/>
      <c r="W3516">
        <v>18</v>
      </c>
    </row>
    <row r="3517" spans="1:23">
      <c r="A3517"/>
      <c r="B3517" t="s">
        <v>84</v>
      </c>
      <c r="C3517" t="s">
        <v>84</v>
      </c>
      <c r="D3517" t="s">
        <v>33</v>
      </c>
      <c r="E3517" t="s">
        <v>34</v>
      </c>
      <c r="F3517" t="str">
        <f>"0003814"</f>
        <v>0003814</v>
      </c>
      <c r="G3517">
        <v>1</v>
      </c>
      <c r="H3517" t="str">
        <f>"00000000"</f>
        <v>00000000</v>
      </c>
      <c r="I3517" t="s">
        <v>35</v>
      </c>
      <c r="J3517"/>
      <c r="K3517">
        <v>3.81</v>
      </c>
      <c r="L3517">
        <v>0.0</v>
      </c>
      <c r="M3517"/>
      <c r="N3517"/>
      <c r="O3517">
        <v>0.69</v>
      </c>
      <c r="P3517">
        <v>0.0</v>
      </c>
      <c r="Q3517">
        <v>4.5</v>
      </c>
      <c r="R3517"/>
      <c r="S3517"/>
      <c r="T3517"/>
      <c r="U3517"/>
      <c r="V3517"/>
      <c r="W3517">
        <v>18</v>
      </c>
    </row>
    <row r="3518" spans="1:23">
      <c r="A3518"/>
      <c r="B3518" t="s">
        <v>84</v>
      </c>
      <c r="C3518" t="s">
        <v>84</v>
      </c>
      <c r="D3518" t="s">
        <v>33</v>
      </c>
      <c r="E3518" t="s">
        <v>34</v>
      </c>
      <c r="F3518" t="str">
        <f>"0003815"</f>
        <v>0003815</v>
      </c>
      <c r="G3518">
        <v>1</v>
      </c>
      <c r="H3518" t="str">
        <f>"00000000"</f>
        <v>00000000</v>
      </c>
      <c r="I3518" t="s">
        <v>35</v>
      </c>
      <c r="J3518"/>
      <c r="K3518">
        <v>0.02</v>
      </c>
      <c r="L3518">
        <v>0.0</v>
      </c>
      <c r="M3518"/>
      <c r="N3518"/>
      <c r="O3518">
        <v>0.0</v>
      </c>
      <c r="P3518">
        <v>0.2</v>
      </c>
      <c r="Q3518">
        <v>0.22</v>
      </c>
      <c r="R3518"/>
      <c r="S3518"/>
      <c r="T3518"/>
      <c r="U3518"/>
      <c r="V3518"/>
      <c r="W3518">
        <v>18</v>
      </c>
    </row>
    <row r="3519" spans="1:23">
      <c r="A3519"/>
      <c r="B3519" t="s">
        <v>84</v>
      </c>
      <c r="C3519" t="s">
        <v>84</v>
      </c>
      <c r="D3519" t="s">
        <v>33</v>
      </c>
      <c r="E3519" t="s">
        <v>34</v>
      </c>
      <c r="F3519" t="str">
        <f>"0003816"</f>
        <v>0003816</v>
      </c>
      <c r="G3519">
        <v>1</v>
      </c>
      <c r="H3519" t="str">
        <f>"00000000"</f>
        <v>00000000</v>
      </c>
      <c r="I3519" t="s">
        <v>35</v>
      </c>
      <c r="J3519"/>
      <c r="K3519">
        <v>4.92</v>
      </c>
      <c r="L3519">
        <v>0.0</v>
      </c>
      <c r="M3519"/>
      <c r="N3519"/>
      <c r="O3519">
        <v>0.88</v>
      </c>
      <c r="P3519">
        <v>0.0</v>
      </c>
      <c r="Q3519">
        <v>5.8</v>
      </c>
      <c r="R3519"/>
      <c r="S3519"/>
      <c r="T3519"/>
      <c r="U3519"/>
      <c r="V3519"/>
      <c r="W3519">
        <v>18</v>
      </c>
    </row>
    <row r="3520" spans="1:23">
      <c r="A3520"/>
      <c r="B3520" t="s">
        <v>84</v>
      </c>
      <c r="C3520" t="s">
        <v>84</v>
      </c>
      <c r="D3520" t="s">
        <v>33</v>
      </c>
      <c r="E3520" t="s">
        <v>34</v>
      </c>
      <c r="F3520" t="str">
        <f>"0003817"</f>
        <v>0003817</v>
      </c>
      <c r="G3520">
        <v>1</v>
      </c>
      <c r="H3520" t="str">
        <f>"00000000"</f>
        <v>00000000</v>
      </c>
      <c r="I3520" t="s">
        <v>35</v>
      </c>
      <c r="J3520"/>
      <c r="K3520">
        <v>4.49</v>
      </c>
      <c r="L3520">
        <v>0.0</v>
      </c>
      <c r="M3520"/>
      <c r="N3520"/>
      <c r="O3520">
        <v>0.81</v>
      </c>
      <c r="P3520">
        <v>0.0</v>
      </c>
      <c r="Q3520">
        <v>5.3</v>
      </c>
      <c r="R3520"/>
      <c r="S3520"/>
      <c r="T3520"/>
      <c r="U3520"/>
      <c r="V3520"/>
      <c r="W3520">
        <v>18</v>
      </c>
    </row>
    <row r="3521" spans="1:23">
      <c r="A3521"/>
      <c r="B3521" t="s">
        <v>84</v>
      </c>
      <c r="C3521" t="s">
        <v>84</v>
      </c>
      <c r="D3521" t="s">
        <v>33</v>
      </c>
      <c r="E3521" t="s">
        <v>34</v>
      </c>
      <c r="F3521" t="str">
        <f>"0003818"</f>
        <v>0003818</v>
      </c>
      <c r="G3521">
        <v>1</v>
      </c>
      <c r="H3521" t="str">
        <f>"00000000"</f>
        <v>00000000</v>
      </c>
      <c r="I3521" t="s">
        <v>35</v>
      </c>
      <c r="J3521"/>
      <c r="K3521">
        <v>88.91</v>
      </c>
      <c r="L3521">
        <v>28.9</v>
      </c>
      <c r="M3521"/>
      <c r="N3521"/>
      <c r="O3521">
        <v>16.0</v>
      </c>
      <c r="P3521">
        <v>0.0</v>
      </c>
      <c r="Q3521">
        <v>133.81</v>
      </c>
      <c r="R3521"/>
      <c r="S3521"/>
      <c r="T3521"/>
      <c r="U3521"/>
      <c r="V3521"/>
      <c r="W3521">
        <v>18</v>
      </c>
    </row>
    <row r="3522" spans="1:23">
      <c r="A3522"/>
      <c r="B3522" t="s">
        <v>84</v>
      </c>
      <c r="C3522" t="s">
        <v>84</v>
      </c>
      <c r="D3522" t="s">
        <v>33</v>
      </c>
      <c r="E3522" t="s">
        <v>34</v>
      </c>
      <c r="F3522" t="str">
        <f>"0003819"</f>
        <v>0003819</v>
      </c>
      <c r="G3522">
        <v>1</v>
      </c>
      <c r="H3522" t="str">
        <f>"00000000"</f>
        <v>00000000</v>
      </c>
      <c r="I3522" t="s">
        <v>35</v>
      </c>
      <c r="J3522"/>
      <c r="K3522">
        <v>67.73</v>
      </c>
      <c r="L3522">
        <v>13.28</v>
      </c>
      <c r="M3522"/>
      <c r="N3522"/>
      <c r="O3522">
        <v>12.19</v>
      </c>
      <c r="P3522">
        <v>0.4</v>
      </c>
      <c r="Q3522">
        <v>93.6</v>
      </c>
      <c r="R3522"/>
      <c r="S3522"/>
      <c r="T3522"/>
      <c r="U3522"/>
      <c r="V3522"/>
      <c r="W3522">
        <v>18</v>
      </c>
    </row>
    <row r="3523" spans="1:23">
      <c r="A3523"/>
      <c r="B3523" t="s">
        <v>84</v>
      </c>
      <c r="C3523" t="s">
        <v>84</v>
      </c>
      <c r="D3523" t="s">
        <v>33</v>
      </c>
      <c r="E3523" t="s">
        <v>34</v>
      </c>
      <c r="F3523" t="str">
        <f>"0003820"</f>
        <v>0003820</v>
      </c>
      <c r="G3523">
        <v>1</v>
      </c>
      <c r="H3523" t="str">
        <f>"00000000"</f>
        <v>00000000</v>
      </c>
      <c r="I3523" t="s">
        <v>35</v>
      </c>
      <c r="J3523"/>
      <c r="K3523">
        <v>55.05</v>
      </c>
      <c r="L3523">
        <v>3.38</v>
      </c>
      <c r="M3523"/>
      <c r="N3523"/>
      <c r="O3523">
        <v>9.91</v>
      </c>
      <c r="P3523">
        <v>0.0</v>
      </c>
      <c r="Q3523">
        <v>68.33</v>
      </c>
      <c r="R3523"/>
      <c r="S3523"/>
      <c r="T3523"/>
      <c r="U3523"/>
      <c r="V3523"/>
      <c r="W3523">
        <v>18</v>
      </c>
    </row>
    <row r="3524" spans="1:23">
      <c r="A3524"/>
      <c r="B3524" t="s">
        <v>84</v>
      </c>
      <c r="C3524" t="s">
        <v>84</v>
      </c>
      <c r="D3524" t="s">
        <v>33</v>
      </c>
      <c r="E3524" t="s">
        <v>34</v>
      </c>
      <c r="F3524" t="str">
        <f>"0003821"</f>
        <v>0003821</v>
      </c>
      <c r="G3524">
        <v>1</v>
      </c>
      <c r="H3524" t="str">
        <f>"00000000"</f>
        <v>00000000</v>
      </c>
      <c r="I3524" t="s">
        <v>35</v>
      </c>
      <c r="J3524"/>
      <c r="K3524">
        <v>5.93</v>
      </c>
      <c r="L3524">
        <v>0.0</v>
      </c>
      <c r="M3524"/>
      <c r="N3524"/>
      <c r="O3524">
        <v>1.07</v>
      </c>
      <c r="P3524">
        <v>0.0</v>
      </c>
      <c r="Q3524">
        <v>7.0</v>
      </c>
      <c r="R3524"/>
      <c r="S3524"/>
      <c r="T3524"/>
      <c r="U3524"/>
      <c r="V3524"/>
      <c r="W3524">
        <v>18</v>
      </c>
    </row>
    <row r="3525" spans="1:23">
      <c r="A3525"/>
      <c r="B3525" t="s">
        <v>84</v>
      </c>
      <c r="C3525" t="s">
        <v>84</v>
      </c>
      <c r="D3525" t="s">
        <v>33</v>
      </c>
      <c r="E3525" t="s">
        <v>34</v>
      </c>
      <c r="F3525" t="str">
        <f>"0003822"</f>
        <v>0003822</v>
      </c>
      <c r="G3525">
        <v>1</v>
      </c>
      <c r="H3525" t="str">
        <f>"00000000"</f>
        <v>00000000</v>
      </c>
      <c r="I3525" t="s">
        <v>35</v>
      </c>
      <c r="J3525"/>
      <c r="K3525">
        <v>0.0</v>
      </c>
      <c r="L3525">
        <v>2.33</v>
      </c>
      <c r="M3525"/>
      <c r="N3525"/>
      <c r="O3525">
        <v>0.0</v>
      </c>
      <c r="P3525">
        <v>0.0</v>
      </c>
      <c r="Q3525">
        <v>2.33</v>
      </c>
      <c r="R3525"/>
      <c r="S3525"/>
      <c r="T3525"/>
      <c r="U3525"/>
      <c r="V3525"/>
      <c r="W3525">
        <v>18</v>
      </c>
    </row>
    <row r="3526" spans="1:23">
      <c r="A3526"/>
      <c r="B3526" t="s">
        <v>84</v>
      </c>
      <c r="C3526" t="s">
        <v>84</v>
      </c>
      <c r="D3526" t="s">
        <v>33</v>
      </c>
      <c r="E3526" t="s">
        <v>34</v>
      </c>
      <c r="F3526" t="str">
        <f>"0003823"</f>
        <v>0003823</v>
      </c>
      <c r="G3526">
        <v>1</v>
      </c>
      <c r="H3526" t="str">
        <f>"00000000"</f>
        <v>00000000</v>
      </c>
      <c r="I3526" t="s">
        <v>35</v>
      </c>
      <c r="J3526"/>
      <c r="K3526">
        <v>32.05</v>
      </c>
      <c r="L3526">
        <v>0.0</v>
      </c>
      <c r="M3526"/>
      <c r="N3526"/>
      <c r="O3526">
        <v>5.77</v>
      </c>
      <c r="P3526">
        <v>0.2</v>
      </c>
      <c r="Q3526">
        <v>38.02</v>
      </c>
      <c r="R3526"/>
      <c r="S3526"/>
      <c r="T3526"/>
      <c r="U3526"/>
      <c r="V3526"/>
      <c r="W3526">
        <v>18</v>
      </c>
    </row>
    <row r="3527" spans="1:23">
      <c r="A3527"/>
      <c r="B3527" t="s">
        <v>84</v>
      </c>
      <c r="C3527" t="s">
        <v>84</v>
      </c>
      <c r="D3527" t="s">
        <v>33</v>
      </c>
      <c r="E3527" t="s">
        <v>34</v>
      </c>
      <c r="F3527" t="str">
        <f>"0003824"</f>
        <v>0003824</v>
      </c>
      <c r="G3527">
        <v>1</v>
      </c>
      <c r="H3527" t="str">
        <f>"00000000"</f>
        <v>00000000</v>
      </c>
      <c r="I3527" t="s">
        <v>35</v>
      </c>
      <c r="J3527"/>
      <c r="K3527">
        <v>14.83</v>
      </c>
      <c r="L3527">
        <v>0.0</v>
      </c>
      <c r="M3527"/>
      <c r="N3527"/>
      <c r="O3527">
        <v>2.67</v>
      </c>
      <c r="P3527">
        <v>0.0</v>
      </c>
      <c r="Q3527">
        <v>17.5</v>
      </c>
      <c r="R3527"/>
      <c r="S3527"/>
      <c r="T3527"/>
      <c r="U3527"/>
      <c r="V3527"/>
      <c r="W3527">
        <v>18</v>
      </c>
    </row>
    <row r="3528" spans="1:23">
      <c r="A3528"/>
      <c r="B3528" t="s">
        <v>84</v>
      </c>
      <c r="C3528" t="s">
        <v>84</v>
      </c>
      <c r="D3528" t="s">
        <v>33</v>
      </c>
      <c r="E3528" t="s">
        <v>34</v>
      </c>
      <c r="F3528" t="str">
        <f>"0003825"</f>
        <v>0003825</v>
      </c>
      <c r="G3528">
        <v>1</v>
      </c>
      <c r="H3528" t="str">
        <f>"00000000"</f>
        <v>00000000</v>
      </c>
      <c r="I3528" t="s">
        <v>35</v>
      </c>
      <c r="J3528"/>
      <c r="K3528">
        <v>19.85</v>
      </c>
      <c r="L3528">
        <v>0.0</v>
      </c>
      <c r="M3528"/>
      <c r="N3528"/>
      <c r="O3528">
        <v>3.57</v>
      </c>
      <c r="P3528">
        <v>0.2</v>
      </c>
      <c r="Q3528">
        <v>23.62</v>
      </c>
      <c r="R3528"/>
      <c r="S3528"/>
      <c r="T3528"/>
      <c r="U3528"/>
      <c r="V3528"/>
      <c r="W3528">
        <v>18</v>
      </c>
    </row>
    <row r="3529" spans="1:23">
      <c r="A3529"/>
      <c r="B3529" t="s">
        <v>84</v>
      </c>
      <c r="C3529" t="s">
        <v>84</v>
      </c>
      <c r="D3529" t="s">
        <v>33</v>
      </c>
      <c r="E3529" t="s">
        <v>34</v>
      </c>
      <c r="F3529" t="str">
        <f>"0003826"</f>
        <v>0003826</v>
      </c>
      <c r="G3529">
        <v>1</v>
      </c>
      <c r="H3529" t="str">
        <f>"00000000"</f>
        <v>00000000</v>
      </c>
      <c r="I3529" t="s">
        <v>35</v>
      </c>
      <c r="J3529"/>
      <c r="K3529">
        <v>1.72</v>
      </c>
      <c r="L3529">
        <v>1.17</v>
      </c>
      <c r="M3529"/>
      <c r="N3529"/>
      <c r="O3529">
        <v>0.31</v>
      </c>
      <c r="P3529">
        <v>0.0</v>
      </c>
      <c r="Q3529">
        <v>3.2</v>
      </c>
      <c r="R3529"/>
      <c r="S3529"/>
      <c r="T3529"/>
      <c r="U3529"/>
      <c r="V3529"/>
      <c r="W3529">
        <v>18</v>
      </c>
    </row>
    <row r="3530" spans="1:23">
      <c r="A3530"/>
      <c r="B3530" t="s">
        <v>84</v>
      </c>
      <c r="C3530" t="s">
        <v>84</v>
      </c>
      <c r="D3530" t="s">
        <v>33</v>
      </c>
      <c r="E3530" t="s">
        <v>34</v>
      </c>
      <c r="F3530" t="str">
        <f>"0003827"</f>
        <v>0003827</v>
      </c>
      <c r="G3530">
        <v>1</v>
      </c>
      <c r="H3530" t="str">
        <f>"00000000"</f>
        <v>00000000</v>
      </c>
      <c r="I3530" t="s">
        <v>35</v>
      </c>
      <c r="J3530"/>
      <c r="K3530">
        <v>6.81</v>
      </c>
      <c r="L3530">
        <v>1.79</v>
      </c>
      <c r="M3530"/>
      <c r="N3530"/>
      <c r="O3530">
        <v>1.22</v>
      </c>
      <c r="P3530">
        <v>0.0</v>
      </c>
      <c r="Q3530">
        <v>9.82</v>
      </c>
      <c r="R3530"/>
      <c r="S3530"/>
      <c r="T3530"/>
      <c r="U3530"/>
      <c r="V3530"/>
      <c r="W3530">
        <v>18</v>
      </c>
    </row>
    <row r="3531" spans="1:23">
      <c r="A3531"/>
      <c r="B3531" t="s">
        <v>84</v>
      </c>
      <c r="C3531" t="s">
        <v>84</v>
      </c>
      <c r="D3531" t="s">
        <v>33</v>
      </c>
      <c r="E3531" t="s">
        <v>34</v>
      </c>
      <c r="F3531" t="str">
        <f>"0003828"</f>
        <v>0003828</v>
      </c>
      <c r="G3531">
        <v>1</v>
      </c>
      <c r="H3531" t="str">
        <f>"00000000"</f>
        <v>00000000</v>
      </c>
      <c r="I3531" t="s">
        <v>35</v>
      </c>
      <c r="J3531"/>
      <c r="K3531">
        <v>22.47</v>
      </c>
      <c r="L3531">
        <v>0.0</v>
      </c>
      <c r="M3531"/>
      <c r="N3531"/>
      <c r="O3531">
        <v>4.05</v>
      </c>
      <c r="P3531">
        <v>0.2</v>
      </c>
      <c r="Q3531">
        <v>26.72</v>
      </c>
      <c r="R3531"/>
      <c r="S3531"/>
      <c r="T3531"/>
      <c r="U3531"/>
      <c r="V3531"/>
      <c r="W3531">
        <v>18</v>
      </c>
    </row>
    <row r="3532" spans="1:23">
      <c r="A3532"/>
      <c r="B3532" t="s">
        <v>84</v>
      </c>
      <c r="C3532" t="s">
        <v>84</v>
      </c>
      <c r="D3532" t="s">
        <v>33</v>
      </c>
      <c r="E3532" t="s">
        <v>34</v>
      </c>
      <c r="F3532" t="str">
        <f>"0003829"</f>
        <v>0003829</v>
      </c>
      <c r="G3532">
        <v>1</v>
      </c>
      <c r="H3532" t="str">
        <f>"00000000"</f>
        <v>00000000</v>
      </c>
      <c r="I3532" t="s">
        <v>35</v>
      </c>
      <c r="J3532"/>
      <c r="K3532">
        <v>46.43</v>
      </c>
      <c r="L3532">
        <v>0.0</v>
      </c>
      <c r="M3532"/>
      <c r="N3532"/>
      <c r="O3532">
        <v>8.36</v>
      </c>
      <c r="P3532">
        <v>0.0</v>
      </c>
      <c r="Q3532">
        <v>54.79</v>
      </c>
      <c r="R3532"/>
      <c r="S3532"/>
      <c r="T3532"/>
      <c r="U3532"/>
      <c r="V3532"/>
      <c r="W3532">
        <v>18</v>
      </c>
    </row>
    <row r="3533" spans="1:23">
      <c r="A3533"/>
      <c r="B3533" t="s">
        <v>84</v>
      </c>
      <c r="C3533" t="s">
        <v>84</v>
      </c>
      <c r="D3533" t="s">
        <v>33</v>
      </c>
      <c r="E3533" t="s">
        <v>34</v>
      </c>
      <c r="F3533" t="str">
        <f>"0003830"</f>
        <v>0003830</v>
      </c>
      <c r="G3533">
        <v>1</v>
      </c>
      <c r="H3533" t="str">
        <f>"00000000"</f>
        <v>00000000</v>
      </c>
      <c r="I3533" t="s">
        <v>35</v>
      </c>
      <c r="J3533"/>
      <c r="K3533">
        <v>45.88</v>
      </c>
      <c r="L3533">
        <v>0.0</v>
      </c>
      <c r="M3533"/>
      <c r="N3533"/>
      <c r="O3533">
        <v>8.26</v>
      </c>
      <c r="P3533">
        <v>0.4</v>
      </c>
      <c r="Q3533">
        <v>54.54</v>
      </c>
      <c r="R3533"/>
      <c r="S3533"/>
      <c r="T3533"/>
      <c r="U3533"/>
      <c r="V3533"/>
      <c r="W3533">
        <v>18</v>
      </c>
    </row>
    <row r="3534" spans="1:23">
      <c r="A3534"/>
      <c r="B3534" t="s">
        <v>84</v>
      </c>
      <c r="C3534" t="s">
        <v>84</v>
      </c>
      <c r="D3534" t="s">
        <v>33</v>
      </c>
      <c r="E3534" t="s">
        <v>34</v>
      </c>
      <c r="F3534" t="str">
        <f>"0003831"</f>
        <v>0003831</v>
      </c>
      <c r="G3534">
        <v>1</v>
      </c>
      <c r="H3534" t="str">
        <f>"00000000"</f>
        <v>00000000</v>
      </c>
      <c r="I3534" t="s">
        <v>35</v>
      </c>
      <c r="J3534"/>
      <c r="K3534">
        <v>1.53</v>
      </c>
      <c r="L3534">
        <v>0.0</v>
      </c>
      <c r="M3534"/>
      <c r="N3534"/>
      <c r="O3534">
        <v>0.27</v>
      </c>
      <c r="P3534">
        <v>0.0</v>
      </c>
      <c r="Q3534">
        <v>1.8</v>
      </c>
      <c r="R3534"/>
      <c r="S3534"/>
      <c r="T3534"/>
      <c r="U3534"/>
      <c r="V3534"/>
      <c r="W3534">
        <v>18</v>
      </c>
    </row>
    <row r="3535" spans="1:23">
      <c r="A3535"/>
      <c r="B3535" t="s">
        <v>84</v>
      </c>
      <c r="C3535" t="s">
        <v>84</v>
      </c>
      <c r="D3535" t="s">
        <v>33</v>
      </c>
      <c r="E3535" t="s">
        <v>34</v>
      </c>
      <c r="F3535" t="str">
        <f>"0003832"</f>
        <v>0003832</v>
      </c>
      <c r="G3535">
        <v>1</v>
      </c>
      <c r="H3535" t="str">
        <f>"00000000"</f>
        <v>00000000</v>
      </c>
      <c r="I3535" t="s">
        <v>35</v>
      </c>
      <c r="J3535"/>
      <c r="K3535">
        <v>37.39</v>
      </c>
      <c r="L3535">
        <v>10.79</v>
      </c>
      <c r="M3535"/>
      <c r="N3535"/>
      <c r="O3535">
        <v>6.73</v>
      </c>
      <c r="P3535">
        <v>0.2</v>
      </c>
      <c r="Q3535">
        <v>55.12</v>
      </c>
      <c r="R3535"/>
      <c r="S3535"/>
      <c r="T3535"/>
      <c r="U3535"/>
      <c r="V3535"/>
      <c r="W3535">
        <v>18</v>
      </c>
    </row>
    <row r="3536" spans="1:23">
      <c r="A3536"/>
      <c r="B3536" t="s">
        <v>84</v>
      </c>
      <c r="C3536" t="s">
        <v>84</v>
      </c>
      <c r="D3536" t="s">
        <v>33</v>
      </c>
      <c r="E3536" t="s">
        <v>34</v>
      </c>
      <c r="F3536" t="str">
        <f>"0003833"</f>
        <v>0003833</v>
      </c>
      <c r="G3536">
        <v>1</v>
      </c>
      <c r="H3536" t="str">
        <f>"00000000"</f>
        <v>00000000</v>
      </c>
      <c r="I3536" t="s">
        <v>35</v>
      </c>
      <c r="J3536"/>
      <c r="K3536">
        <v>10.71</v>
      </c>
      <c r="L3536">
        <v>1.39</v>
      </c>
      <c r="M3536"/>
      <c r="N3536"/>
      <c r="O3536">
        <v>1.93</v>
      </c>
      <c r="P3536">
        <v>0.2</v>
      </c>
      <c r="Q3536">
        <v>14.23</v>
      </c>
      <c r="R3536"/>
      <c r="S3536"/>
      <c r="T3536"/>
      <c r="U3536"/>
      <c r="V3536"/>
      <c r="W3536">
        <v>18</v>
      </c>
    </row>
    <row r="3537" spans="1:23">
      <c r="A3537"/>
      <c r="B3537" t="s">
        <v>84</v>
      </c>
      <c r="C3537" t="s">
        <v>84</v>
      </c>
      <c r="D3537" t="s">
        <v>33</v>
      </c>
      <c r="E3537" t="s">
        <v>34</v>
      </c>
      <c r="F3537" t="str">
        <f>"0003834"</f>
        <v>0003834</v>
      </c>
      <c r="G3537">
        <v>1</v>
      </c>
      <c r="H3537" t="str">
        <f>"00000000"</f>
        <v>00000000</v>
      </c>
      <c r="I3537" t="s">
        <v>35</v>
      </c>
      <c r="J3537"/>
      <c r="K3537">
        <v>44.85</v>
      </c>
      <c r="L3537">
        <v>0.0</v>
      </c>
      <c r="M3537"/>
      <c r="N3537"/>
      <c r="O3537">
        <v>8.07</v>
      </c>
      <c r="P3537">
        <v>0.2</v>
      </c>
      <c r="Q3537">
        <v>53.12</v>
      </c>
      <c r="R3537"/>
      <c r="S3537"/>
      <c r="T3537"/>
      <c r="U3537"/>
      <c r="V3537"/>
      <c r="W3537">
        <v>18</v>
      </c>
    </row>
    <row r="3538" spans="1:23">
      <c r="A3538"/>
      <c r="B3538" t="s">
        <v>84</v>
      </c>
      <c r="C3538" t="s">
        <v>84</v>
      </c>
      <c r="D3538" t="s">
        <v>33</v>
      </c>
      <c r="E3538" t="s">
        <v>34</v>
      </c>
      <c r="F3538" t="str">
        <f>"0003835"</f>
        <v>0003835</v>
      </c>
      <c r="G3538">
        <v>1</v>
      </c>
      <c r="H3538" t="str">
        <f>"00000000"</f>
        <v>00000000</v>
      </c>
      <c r="I3538" t="s">
        <v>35</v>
      </c>
      <c r="J3538"/>
      <c r="K3538">
        <v>1.53</v>
      </c>
      <c r="L3538">
        <v>0.0</v>
      </c>
      <c r="M3538"/>
      <c r="N3538"/>
      <c r="O3538">
        <v>0.27</v>
      </c>
      <c r="P3538">
        <v>0.0</v>
      </c>
      <c r="Q3538">
        <v>1.8</v>
      </c>
      <c r="R3538"/>
      <c r="S3538"/>
      <c r="T3538"/>
      <c r="U3538"/>
      <c r="V3538"/>
      <c r="W3538">
        <v>18</v>
      </c>
    </row>
    <row r="3539" spans="1:23">
      <c r="A3539"/>
      <c r="B3539" t="s">
        <v>84</v>
      </c>
      <c r="C3539" t="s">
        <v>84</v>
      </c>
      <c r="D3539" t="s">
        <v>33</v>
      </c>
      <c r="E3539" t="s">
        <v>34</v>
      </c>
      <c r="F3539" t="str">
        <f>"0003836"</f>
        <v>0003836</v>
      </c>
      <c r="G3539">
        <v>1</v>
      </c>
      <c r="H3539" t="str">
        <f>"00000000"</f>
        <v>00000000</v>
      </c>
      <c r="I3539" t="s">
        <v>35</v>
      </c>
      <c r="J3539"/>
      <c r="K3539">
        <v>5.1</v>
      </c>
      <c r="L3539">
        <v>0.0</v>
      </c>
      <c r="M3539"/>
      <c r="N3539"/>
      <c r="O3539">
        <v>0.92</v>
      </c>
      <c r="P3539">
        <v>0.2</v>
      </c>
      <c r="Q3539">
        <v>6.22</v>
      </c>
      <c r="R3539"/>
      <c r="S3539"/>
      <c r="T3539"/>
      <c r="U3539"/>
      <c r="V3539"/>
      <c r="W3539">
        <v>18</v>
      </c>
    </row>
    <row r="3540" spans="1:23">
      <c r="A3540"/>
      <c r="B3540" t="s">
        <v>84</v>
      </c>
      <c r="C3540" t="s">
        <v>84</v>
      </c>
      <c r="D3540" t="s">
        <v>33</v>
      </c>
      <c r="E3540" t="s">
        <v>34</v>
      </c>
      <c r="F3540" t="str">
        <f>"0003837"</f>
        <v>0003837</v>
      </c>
      <c r="G3540">
        <v>1</v>
      </c>
      <c r="H3540" t="str">
        <f>"00000000"</f>
        <v>00000000</v>
      </c>
      <c r="I3540" t="s">
        <v>35</v>
      </c>
      <c r="J3540"/>
      <c r="K3540">
        <v>1.02</v>
      </c>
      <c r="L3540">
        <v>0.0</v>
      </c>
      <c r="M3540"/>
      <c r="N3540"/>
      <c r="O3540">
        <v>0.18</v>
      </c>
      <c r="P3540">
        <v>0.0</v>
      </c>
      <c r="Q3540">
        <v>1.2</v>
      </c>
      <c r="R3540"/>
      <c r="S3540"/>
      <c r="T3540"/>
      <c r="U3540"/>
      <c r="V3540"/>
      <c r="W3540">
        <v>18</v>
      </c>
    </row>
    <row r="3541" spans="1:23">
      <c r="A3541"/>
      <c r="B3541" t="s">
        <v>84</v>
      </c>
      <c r="C3541" t="s">
        <v>84</v>
      </c>
      <c r="D3541" t="s">
        <v>33</v>
      </c>
      <c r="E3541" t="s">
        <v>34</v>
      </c>
      <c r="F3541" t="str">
        <f>"0003838"</f>
        <v>0003838</v>
      </c>
      <c r="G3541">
        <v>1</v>
      </c>
      <c r="H3541" t="str">
        <f>"00000000"</f>
        <v>00000000</v>
      </c>
      <c r="I3541" t="s">
        <v>35</v>
      </c>
      <c r="J3541"/>
      <c r="K3541">
        <v>28.94</v>
      </c>
      <c r="L3541">
        <v>8.06</v>
      </c>
      <c r="M3541"/>
      <c r="N3541"/>
      <c r="O3541">
        <v>5.21</v>
      </c>
      <c r="P3541">
        <v>0.4</v>
      </c>
      <c r="Q3541">
        <v>42.61</v>
      </c>
      <c r="R3541"/>
      <c r="S3541"/>
      <c r="T3541"/>
      <c r="U3541"/>
      <c r="V3541"/>
      <c r="W3541">
        <v>18</v>
      </c>
    </row>
    <row r="3542" spans="1:23">
      <c r="A3542"/>
      <c r="B3542" t="s">
        <v>84</v>
      </c>
      <c r="C3542" t="s">
        <v>84</v>
      </c>
      <c r="D3542" t="s">
        <v>33</v>
      </c>
      <c r="E3542" t="s">
        <v>34</v>
      </c>
      <c r="F3542" t="str">
        <f>"0003839"</f>
        <v>0003839</v>
      </c>
      <c r="G3542">
        <v>1</v>
      </c>
      <c r="H3542" t="str">
        <f>"00000000"</f>
        <v>00000000</v>
      </c>
      <c r="I3542" t="s">
        <v>35</v>
      </c>
      <c r="J3542"/>
      <c r="K3542">
        <v>0.68</v>
      </c>
      <c r="L3542">
        <v>0.0</v>
      </c>
      <c r="M3542"/>
      <c r="N3542"/>
      <c r="O3542">
        <v>0.12</v>
      </c>
      <c r="P3542">
        <v>0.0</v>
      </c>
      <c r="Q3542">
        <v>0.8</v>
      </c>
      <c r="R3542"/>
      <c r="S3542"/>
      <c r="T3542"/>
      <c r="U3542"/>
      <c r="V3542"/>
      <c r="W3542">
        <v>18</v>
      </c>
    </row>
    <row r="3543" spans="1:23">
      <c r="A3543"/>
      <c r="B3543" t="s">
        <v>84</v>
      </c>
      <c r="C3543" t="s">
        <v>84</v>
      </c>
      <c r="D3543" t="s">
        <v>33</v>
      </c>
      <c r="E3543" t="s">
        <v>34</v>
      </c>
      <c r="F3543" t="str">
        <f>"0003840"</f>
        <v>0003840</v>
      </c>
      <c r="G3543">
        <v>1</v>
      </c>
      <c r="H3543" t="str">
        <f>"00000000"</f>
        <v>00000000</v>
      </c>
      <c r="I3543" t="s">
        <v>35</v>
      </c>
      <c r="J3543"/>
      <c r="K3543">
        <v>2.12</v>
      </c>
      <c r="L3543">
        <v>0.0</v>
      </c>
      <c r="M3543"/>
      <c r="N3543"/>
      <c r="O3543">
        <v>0.38</v>
      </c>
      <c r="P3543">
        <v>0.0</v>
      </c>
      <c r="Q3543">
        <v>2.5</v>
      </c>
      <c r="R3543"/>
      <c r="S3543"/>
      <c r="T3543"/>
      <c r="U3543"/>
      <c r="V3543"/>
      <c r="W3543">
        <v>18</v>
      </c>
    </row>
    <row r="3544" spans="1:23">
      <c r="A3544"/>
      <c r="B3544" t="s">
        <v>84</v>
      </c>
      <c r="C3544" t="s">
        <v>84</v>
      </c>
      <c r="D3544" t="s">
        <v>33</v>
      </c>
      <c r="E3544" t="s">
        <v>34</v>
      </c>
      <c r="F3544" t="str">
        <f>"0003841"</f>
        <v>0003841</v>
      </c>
      <c r="G3544">
        <v>1</v>
      </c>
      <c r="H3544" t="str">
        <f>"00000000"</f>
        <v>00000000</v>
      </c>
      <c r="I3544" t="s">
        <v>35</v>
      </c>
      <c r="J3544"/>
      <c r="K3544">
        <v>2.53</v>
      </c>
      <c r="L3544">
        <v>0.0</v>
      </c>
      <c r="M3544"/>
      <c r="N3544"/>
      <c r="O3544">
        <v>0.46</v>
      </c>
      <c r="P3544">
        <v>0.0</v>
      </c>
      <c r="Q3544">
        <v>2.99</v>
      </c>
      <c r="R3544"/>
      <c r="S3544"/>
      <c r="T3544"/>
      <c r="U3544"/>
      <c r="V3544"/>
      <c r="W3544">
        <v>18</v>
      </c>
    </row>
    <row r="3545" spans="1:23">
      <c r="A3545"/>
      <c r="B3545" t="s">
        <v>84</v>
      </c>
      <c r="C3545" t="s">
        <v>84</v>
      </c>
      <c r="D3545" t="s">
        <v>33</v>
      </c>
      <c r="E3545" t="s">
        <v>34</v>
      </c>
      <c r="F3545" t="str">
        <f>"0003842"</f>
        <v>0003842</v>
      </c>
      <c r="G3545">
        <v>1</v>
      </c>
      <c r="H3545" t="str">
        <f>"00000000"</f>
        <v>00000000</v>
      </c>
      <c r="I3545" t="s">
        <v>35</v>
      </c>
      <c r="J3545"/>
      <c r="K3545">
        <v>5.93</v>
      </c>
      <c r="L3545">
        <v>0.0</v>
      </c>
      <c r="M3545"/>
      <c r="N3545"/>
      <c r="O3545">
        <v>1.07</v>
      </c>
      <c r="P3545">
        <v>0.0</v>
      </c>
      <c r="Q3545">
        <v>7.0</v>
      </c>
      <c r="R3545"/>
      <c r="S3545"/>
      <c r="T3545"/>
      <c r="U3545"/>
      <c r="V3545"/>
      <c r="W3545">
        <v>18</v>
      </c>
    </row>
    <row r="3546" spans="1:23">
      <c r="A3546"/>
      <c r="B3546" t="s">
        <v>84</v>
      </c>
      <c r="C3546" t="s">
        <v>84</v>
      </c>
      <c r="D3546" t="s">
        <v>33</v>
      </c>
      <c r="E3546" t="s">
        <v>34</v>
      </c>
      <c r="F3546" t="str">
        <f>"0003843"</f>
        <v>0003843</v>
      </c>
      <c r="G3546">
        <v>1</v>
      </c>
      <c r="H3546" t="str">
        <f>"00000000"</f>
        <v>00000000</v>
      </c>
      <c r="I3546" t="s">
        <v>35</v>
      </c>
      <c r="J3546"/>
      <c r="K3546">
        <v>6.61</v>
      </c>
      <c r="L3546">
        <v>0.0</v>
      </c>
      <c r="M3546"/>
      <c r="N3546"/>
      <c r="O3546">
        <v>1.19</v>
      </c>
      <c r="P3546">
        <v>0.0</v>
      </c>
      <c r="Q3546">
        <v>7.8</v>
      </c>
      <c r="R3546"/>
      <c r="S3546"/>
      <c r="T3546"/>
      <c r="U3546"/>
      <c r="V3546"/>
      <c r="W3546">
        <v>18</v>
      </c>
    </row>
    <row r="3547" spans="1:23">
      <c r="A3547"/>
      <c r="B3547" t="s">
        <v>84</v>
      </c>
      <c r="C3547" t="s">
        <v>84</v>
      </c>
      <c r="D3547" t="s">
        <v>33</v>
      </c>
      <c r="E3547" t="s">
        <v>34</v>
      </c>
      <c r="F3547" t="str">
        <f>"0003844"</f>
        <v>0003844</v>
      </c>
      <c r="G3547">
        <v>1</v>
      </c>
      <c r="H3547" t="str">
        <f>"00000000"</f>
        <v>00000000</v>
      </c>
      <c r="I3547" t="s">
        <v>35</v>
      </c>
      <c r="J3547"/>
      <c r="K3547">
        <v>12.56</v>
      </c>
      <c r="L3547">
        <v>0.0</v>
      </c>
      <c r="M3547"/>
      <c r="N3547"/>
      <c r="O3547">
        <v>2.26</v>
      </c>
      <c r="P3547">
        <v>0.2</v>
      </c>
      <c r="Q3547">
        <v>15.02</v>
      </c>
      <c r="R3547"/>
      <c r="S3547"/>
      <c r="T3547"/>
      <c r="U3547"/>
      <c r="V3547"/>
      <c r="W3547">
        <v>18</v>
      </c>
    </row>
    <row r="3548" spans="1:23">
      <c r="A3548"/>
      <c r="B3548" t="s">
        <v>84</v>
      </c>
      <c r="C3548" t="s">
        <v>84</v>
      </c>
      <c r="D3548" t="s">
        <v>33</v>
      </c>
      <c r="E3548" t="s">
        <v>34</v>
      </c>
      <c r="F3548" t="str">
        <f>"0003845"</f>
        <v>0003845</v>
      </c>
      <c r="G3548">
        <v>1</v>
      </c>
      <c r="H3548" t="str">
        <f>"00000000"</f>
        <v>00000000</v>
      </c>
      <c r="I3548" t="s">
        <v>35</v>
      </c>
      <c r="J3548"/>
      <c r="K3548">
        <v>1.02</v>
      </c>
      <c r="L3548">
        <v>0.0</v>
      </c>
      <c r="M3548"/>
      <c r="N3548"/>
      <c r="O3548">
        <v>0.18</v>
      </c>
      <c r="P3548">
        <v>0.0</v>
      </c>
      <c r="Q3548">
        <v>1.2</v>
      </c>
      <c r="R3548"/>
      <c r="S3548"/>
      <c r="T3548"/>
      <c r="U3548"/>
      <c r="V3548"/>
      <c r="W3548">
        <v>18</v>
      </c>
    </row>
    <row r="3549" spans="1:23">
      <c r="A3549"/>
      <c r="B3549" t="s">
        <v>84</v>
      </c>
      <c r="C3549" t="s">
        <v>84</v>
      </c>
      <c r="D3549" t="s">
        <v>33</v>
      </c>
      <c r="E3549" t="s">
        <v>34</v>
      </c>
      <c r="F3549" t="str">
        <f>"0003846"</f>
        <v>0003846</v>
      </c>
      <c r="G3549">
        <v>1</v>
      </c>
      <c r="H3549" t="str">
        <f>"00000000"</f>
        <v>00000000</v>
      </c>
      <c r="I3549" t="s">
        <v>35</v>
      </c>
      <c r="J3549"/>
      <c r="K3549">
        <v>4.23</v>
      </c>
      <c r="L3549">
        <v>0.0</v>
      </c>
      <c r="M3549"/>
      <c r="N3549"/>
      <c r="O3549">
        <v>0.76</v>
      </c>
      <c r="P3549">
        <v>0.0</v>
      </c>
      <c r="Q3549">
        <v>4.99</v>
      </c>
      <c r="R3549"/>
      <c r="S3549"/>
      <c r="T3549"/>
      <c r="U3549"/>
      <c r="V3549"/>
      <c r="W3549">
        <v>18</v>
      </c>
    </row>
    <row r="3550" spans="1:23">
      <c r="A3550"/>
      <c r="B3550" t="s">
        <v>84</v>
      </c>
      <c r="C3550" t="s">
        <v>84</v>
      </c>
      <c r="D3550" t="s">
        <v>33</v>
      </c>
      <c r="E3550" t="s">
        <v>34</v>
      </c>
      <c r="F3550" t="str">
        <f>"0003847"</f>
        <v>0003847</v>
      </c>
      <c r="G3550">
        <v>1</v>
      </c>
      <c r="H3550" t="str">
        <f>"00000000"</f>
        <v>00000000</v>
      </c>
      <c r="I3550" t="s">
        <v>35</v>
      </c>
      <c r="J3550"/>
      <c r="K3550">
        <v>5.08</v>
      </c>
      <c r="L3550">
        <v>0.0</v>
      </c>
      <c r="M3550"/>
      <c r="N3550"/>
      <c r="O3550">
        <v>0.92</v>
      </c>
      <c r="P3550">
        <v>0.0</v>
      </c>
      <c r="Q3550">
        <v>6.0</v>
      </c>
      <c r="R3550"/>
      <c r="S3550"/>
      <c r="T3550"/>
      <c r="U3550"/>
      <c r="V3550"/>
      <c r="W3550">
        <v>18</v>
      </c>
    </row>
    <row r="3551" spans="1:23">
      <c r="A3551"/>
      <c r="B3551" t="s">
        <v>84</v>
      </c>
      <c r="C3551" t="s">
        <v>84</v>
      </c>
      <c r="D3551" t="s">
        <v>33</v>
      </c>
      <c r="E3551" t="s">
        <v>34</v>
      </c>
      <c r="F3551" t="str">
        <f>"0003848"</f>
        <v>0003848</v>
      </c>
      <c r="G3551">
        <v>1</v>
      </c>
      <c r="H3551" t="str">
        <f>"00000000"</f>
        <v>00000000</v>
      </c>
      <c r="I3551" t="s">
        <v>35</v>
      </c>
      <c r="J3551"/>
      <c r="K3551">
        <v>8.56</v>
      </c>
      <c r="L3551">
        <v>0.0</v>
      </c>
      <c r="M3551"/>
      <c r="N3551"/>
      <c r="O3551">
        <v>1.54</v>
      </c>
      <c r="P3551">
        <v>0.0</v>
      </c>
      <c r="Q3551">
        <v>10.1</v>
      </c>
      <c r="R3551"/>
      <c r="S3551"/>
      <c r="T3551"/>
      <c r="U3551"/>
      <c r="V3551"/>
      <c r="W3551">
        <v>18</v>
      </c>
    </row>
    <row r="3552" spans="1:23">
      <c r="A3552"/>
      <c r="B3552" t="s">
        <v>84</v>
      </c>
      <c r="C3552" t="s">
        <v>84</v>
      </c>
      <c r="D3552" t="s">
        <v>33</v>
      </c>
      <c r="E3552" t="s">
        <v>34</v>
      </c>
      <c r="F3552" t="str">
        <f>"0003849"</f>
        <v>0003849</v>
      </c>
      <c r="G3552">
        <v>1</v>
      </c>
      <c r="H3552" t="str">
        <f>"00000000"</f>
        <v>00000000</v>
      </c>
      <c r="I3552" t="s">
        <v>35</v>
      </c>
      <c r="J3552"/>
      <c r="K3552">
        <v>4.15</v>
      </c>
      <c r="L3552">
        <v>0.0</v>
      </c>
      <c r="M3552"/>
      <c r="N3552"/>
      <c r="O3552">
        <v>0.75</v>
      </c>
      <c r="P3552">
        <v>0.0</v>
      </c>
      <c r="Q3552">
        <v>4.9</v>
      </c>
      <c r="R3552"/>
      <c r="S3552"/>
      <c r="T3552"/>
      <c r="U3552"/>
      <c r="V3552"/>
      <c r="W3552">
        <v>18</v>
      </c>
    </row>
    <row r="3553" spans="1:23">
      <c r="A3553"/>
      <c r="B3553" t="s">
        <v>84</v>
      </c>
      <c r="C3553" t="s">
        <v>84</v>
      </c>
      <c r="D3553" t="s">
        <v>33</v>
      </c>
      <c r="E3553" t="s">
        <v>34</v>
      </c>
      <c r="F3553" t="str">
        <f>"0003850"</f>
        <v>0003850</v>
      </c>
      <c r="G3553">
        <v>1</v>
      </c>
      <c r="H3553" t="str">
        <f>"00000000"</f>
        <v>00000000</v>
      </c>
      <c r="I3553" t="s">
        <v>35</v>
      </c>
      <c r="J3553"/>
      <c r="K3553">
        <v>25.85</v>
      </c>
      <c r="L3553">
        <v>0.0</v>
      </c>
      <c r="M3553"/>
      <c r="N3553"/>
      <c r="O3553">
        <v>4.65</v>
      </c>
      <c r="P3553">
        <v>0.0</v>
      </c>
      <c r="Q3553">
        <v>30.5</v>
      </c>
      <c r="R3553"/>
      <c r="S3553"/>
      <c r="T3553"/>
      <c r="U3553"/>
      <c r="V3553"/>
      <c r="W3553">
        <v>18</v>
      </c>
    </row>
    <row r="3554" spans="1:23">
      <c r="A3554"/>
      <c r="B3554" t="s">
        <v>84</v>
      </c>
      <c r="C3554" t="s">
        <v>84</v>
      </c>
      <c r="D3554" t="s">
        <v>33</v>
      </c>
      <c r="E3554" t="s">
        <v>34</v>
      </c>
      <c r="F3554" t="str">
        <f>"0003851"</f>
        <v>0003851</v>
      </c>
      <c r="G3554">
        <v>1</v>
      </c>
      <c r="H3554" t="str">
        <f>"00000000"</f>
        <v>00000000</v>
      </c>
      <c r="I3554" t="s">
        <v>35</v>
      </c>
      <c r="J3554"/>
      <c r="K3554">
        <v>26.93</v>
      </c>
      <c r="L3554">
        <v>28.9</v>
      </c>
      <c r="M3554"/>
      <c r="N3554"/>
      <c r="O3554">
        <v>4.85</v>
      </c>
      <c r="P3554">
        <v>0.0</v>
      </c>
      <c r="Q3554">
        <v>60.68</v>
      </c>
      <c r="R3554"/>
      <c r="S3554"/>
      <c r="T3554"/>
      <c r="U3554"/>
      <c r="V3554"/>
      <c r="W3554">
        <v>18</v>
      </c>
    </row>
    <row r="3555" spans="1:23">
      <c r="A3555"/>
      <c r="B3555" t="s">
        <v>84</v>
      </c>
      <c r="C3555" t="s">
        <v>84</v>
      </c>
      <c r="D3555" t="s">
        <v>33</v>
      </c>
      <c r="E3555" t="s">
        <v>34</v>
      </c>
      <c r="F3555" t="str">
        <f>"0003852"</f>
        <v>0003852</v>
      </c>
      <c r="G3555">
        <v>1</v>
      </c>
      <c r="H3555" t="str">
        <f>"00000000"</f>
        <v>00000000</v>
      </c>
      <c r="I3555" t="s">
        <v>35</v>
      </c>
      <c r="J3555"/>
      <c r="K3555">
        <v>34.34</v>
      </c>
      <c r="L3555">
        <v>0.0</v>
      </c>
      <c r="M3555"/>
      <c r="N3555"/>
      <c r="O3555">
        <v>6.18</v>
      </c>
      <c r="P3555">
        <v>0.2</v>
      </c>
      <c r="Q3555">
        <v>40.72</v>
      </c>
      <c r="R3555"/>
      <c r="S3555"/>
      <c r="T3555"/>
      <c r="U3555"/>
      <c r="V3555"/>
      <c r="W3555">
        <v>18</v>
      </c>
    </row>
    <row r="3556" spans="1:23">
      <c r="A3556"/>
      <c r="B3556" t="s">
        <v>84</v>
      </c>
      <c r="C3556" t="s">
        <v>84</v>
      </c>
      <c r="D3556" t="s">
        <v>33</v>
      </c>
      <c r="E3556" t="s">
        <v>34</v>
      </c>
      <c r="F3556" t="str">
        <f>"0003853"</f>
        <v>0003853</v>
      </c>
      <c r="G3556">
        <v>1</v>
      </c>
      <c r="H3556" t="str">
        <f>"00000000"</f>
        <v>00000000</v>
      </c>
      <c r="I3556" t="s">
        <v>35</v>
      </c>
      <c r="J3556"/>
      <c r="K3556">
        <v>10.57</v>
      </c>
      <c r="L3556">
        <v>4.42</v>
      </c>
      <c r="M3556"/>
      <c r="N3556"/>
      <c r="O3556">
        <v>1.9</v>
      </c>
      <c r="P3556">
        <v>0.0</v>
      </c>
      <c r="Q3556">
        <v>16.9</v>
      </c>
      <c r="R3556"/>
      <c r="S3556"/>
      <c r="T3556"/>
      <c r="U3556"/>
      <c r="V3556"/>
      <c r="W3556">
        <v>18</v>
      </c>
    </row>
    <row r="3557" spans="1:23">
      <c r="A3557"/>
      <c r="B3557" t="s">
        <v>84</v>
      </c>
      <c r="C3557" t="s">
        <v>84</v>
      </c>
      <c r="D3557" t="s">
        <v>33</v>
      </c>
      <c r="E3557" t="s">
        <v>34</v>
      </c>
      <c r="F3557" t="str">
        <f>"0003854"</f>
        <v>0003854</v>
      </c>
      <c r="G3557">
        <v>1</v>
      </c>
      <c r="H3557" t="str">
        <f>"00000000"</f>
        <v>00000000</v>
      </c>
      <c r="I3557" t="s">
        <v>35</v>
      </c>
      <c r="J3557"/>
      <c r="K3557">
        <v>22.46</v>
      </c>
      <c r="L3557">
        <v>0.0</v>
      </c>
      <c r="M3557"/>
      <c r="N3557"/>
      <c r="O3557">
        <v>4.04</v>
      </c>
      <c r="P3557">
        <v>0.0</v>
      </c>
      <c r="Q3557">
        <v>26.5</v>
      </c>
      <c r="R3557"/>
      <c r="S3557"/>
      <c r="T3557"/>
      <c r="U3557"/>
      <c r="V3557"/>
      <c r="W3557">
        <v>18</v>
      </c>
    </row>
    <row r="3558" spans="1:23">
      <c r="A3558"/>
      <c r="B3558" t="s">
        <v>84</v>
      </c>
      <c r="C3558" t="s">
        <v>84</v>
      </c>
      <c r="D3558" t="s">
        <v>33</v>
      </c>
      <c r="E3558" t="s">
        <v>34</v>
      </c>
      <c r="F3558" t="str">
        <f>"0003855"</f>
        <v>0003855</v>
      </c>
      <c r="G3558">
        <v>1</v>
      </c>
      <c r="H3558" t="str">
        <f>"00000000"</f>
        <v>00000000</v>
      </c>
      <c r="I3558" t="s">
        <v>35</v>
      </c>
      <c r="J3558"/>
      <c r="K3558">
        <v>5.08</v>
      </c>
      <c r="L3558">
        <v>2.24</v>
      </c>
      <c r="M3558"/>
      <c r="N3558"/>
      <c r="O3558">
        <v>0.92</v>
      </c>
      <c r="P3558">
        <v>0.0</v>
      </c>
      <c r="Q3558">
        <v>8.24</v>
      </c>
      <c r="R3558"/>
      <c r="S3558"/>
      <c r="T3558"/>
      <c r="U3558"/>
      <c r="V3558"/>
      <c r="W3558">
        <v>18</v>
      </c>
    </row>
    <row r="3559" spans="1:23">
      <c r="A3559"/>
      <c r="B3559" t="s">
        <v>84</v>
      </c>
      <c r="C3559" t="s">
        <v>84</v>
      </c>
      <c r="D3559" t="s">
        <v>33</v>
      </c>
      <c r="E3559" t="s">
        <v>34</v>
      </c>
      <c r="F3559" t="str">
        <f>"0003856"</f>
        <v>0003856</v>
      </c>
      <c r="G3559">
        <v>1</v>
      </c>
      <c r="H3559" t="str">
        <f>"00000000"</f>
        <v>00000000</v>
      </c>
      <c r="I3559" t="s">
        <v>35</v>
      </c>
      <c r="J3559"/>
      <c r="K3559">
        <v>2.53</v>
      </c>
      <c r="L3559">
        <v>0.0</v>
      </c>
      <c r="M3559"/>
      <c r="N3559"/>
      <c r="O3559">
        <v>0.46</v>
      </c>
      <c r="P3559">
        <v>0.0</v>
      </c>
      <c r="Q3559">
        <v>2.99</v>
      </c>
      <c r="R3559"/>
      <c r="S3559"/>
      <c r="T3559"/>
      <c r="U3559"/>
      <c r="V3559"/>
      <c r="W3559">
        <v>18</v>
      </c>
    </row>
    <row r="3560" spans="1:23">
      <c r="A3560"/>
      <c r="B3560" t="s">
        <v>84</v>
      </c>
      <c r="C3560" t="s">
        <v>84</v>
      </c>
      <c r="D3560" t="s">
        <v>33</v>
      </c>
      <c r="E3560" t="s">
        <v>34</v>
      </c>
      <c r="F3560" t="str">
        <f>"0003857"</f>
        <v>0003857</v>
      </c>
      <c r="G3560">
        <v>1</v>
      </c>
      <c r="H3560" t="str">
        <f>"00000000"</f>
        <v>00000000</v>
      </c>
      <c r="I3560" t="s">
        <v>35</v>
      </c>
      <c r="J3560"/>
      <c r="K3560">
        <v>33.11</v>
      </c>
      <c r="L3560">
        <v>1.53</v>
      </c>
      <c r="M3560"/>
      <c r="N3560"/>
      <c r="O3560">
        <v>5.96</v>
      </c>
      <c r="P3560">
        <v>0.2</v>
      </c>
      <c r="Q3560">
        <v>40.8</v>
      </c>
      <c r="R3560"/>
      <c r="S3560"/>
      <c r="T3560"/>
      <c r="U3560"/>
      <c r="V3560"/>
      <c r="W3560">
        <v>18</v>
      </c>
    </row>
    <row r="3561" spans="1:23">
      <c r="A3561"/>
      <c r="B3561" t="s">
        <v>84</v>
      </c>
      <c r="C3561" t="s">
        <v>84</v>
      </c>
      <c r="D3561" t="s">
        <v>33</v>
      </c>
      <c r="E3561" t="s">
        <v>34</v>
      </c>
      <c r="F3561" t="str">
        <f>"0003858"</f>
        <v>0003858</v>
      </c>
      <c r="G3561">
        <v>1</v>
      </c>
      <c r="H3561" t="str">
        <f>"00000000"</f>
        <v>00000000</v>
      </c>
      <c r="I3561" t="s">
        <v>35</v>
      </c>
      <c r="J3561"/>
      <c r="K3561">
        <v>1.27</v>
      </c>
      <c r="L3561">
        <v>0.0</v>
      </c>
      <c r="M3561"/>
      <c r="N3561"/>
      <c r="O3561">
        <v>0.23</v>
      </c>
      <c r="P3561">
        <v>0.0</v>
      </c>
      <c r="Q3561">
        <v>1.5</v>
      </c>
      <c r="R3561"/>
      <c r="S3561"/>
      <c r="T3561"/>
      <c r="U3561"/>
      <c r="V3561"/>
      <c r="W3561">
        <v>18</v>
      </c>
    </row>
    <row r="3562" spans="1:23">
      <c r="A3562"/>
      <c r="B3562" t="s">
        <v>84</v>
      </c>
      <c r="C3562" t="s">
        <v>84</v>
      </c>
      <c r="D3562" t="s">
        <v>33</v>
      </c>
      <c r="E3562" t="s">
        <v>34</v>
      </c>
      <c r="F3562" t="str">
        <f>"0003859"</f>
        <v>0003859</v>
      </c>
      <c r="G3562">
        <v>1</v>
      </c>
      <c r="H3562" t="str">
        <f>"00000000"</f>
        <v>00000000</v>
      </c>
      <c r="I3562" t="s">
        <v>35</v>
      </c>
      <c r="J3562"/>
      <c r="K3562">
        <v>16.1</v>
      </c>
      <c r="L3562">
        <v>0.0</v>
      </c>
      <c r="M3562"/>
      <c r="N3562"/>
      <c r="O3562">
        <v>2.9</v>
      </c>
      <c r="P3562">
        <v>0.0</v>
      </c>
      <c r="Q3562">
        <v>19.0</v>
      </c>
      <c r="R3562"/>
      <c r="S3562"/>
      <c r="T3562"/>
      <c r="U3562"/>
      <c r="V3562"/>
      <c r="W3562">
        <v>18</v>
      </c>
    </row>
    <row r="3563" spans="1:23">
      <c r="A3563"/>
      <c r="B3563" t="s">
        <v>84</v>
      </c>
      <c r="C3563" t="s">
        <v>84</v>
      </c>
      <c r="D3563" t="s">
        <v>33</v>
      </c>
      <c r="E3563" t="s">
        <v>34</v>
      </c>
      <c r="F3563" t="str">
        <f>"0003860"</f>
        <v>0003860</v>
      </c>
      <c r="G3563">
        <v>1</v>
      </c>
      <c r="H3563" t="str">
        <f>"00000000"</f>
        <v>00000000</v>
      </c>
      <c r="I3563" t="s">
        <v>35</v>
      </c>
      <c r="J3563"/>
      <c r="K3563">
        <v>24.46</v>
      </c>
      <c r="L3563">
        <v>0.0</v>
      </c>
      <c r="M3563"/>
      <c r="N3563"/>
      <c r="O3563">
        <v>4.4</v>
      </c>
      <c r="P3563">
        <v>0.6</v>
      </c>
      <c r="Q3563">
        <v>29.46</v>
      </c>
      <c r="R3563"/>
      <c r="S3563"/>
      <c r="T3563"/>
      <c r="U3563"/>
      <c r="V3563"/>
      <c r="W3563">
        <v>18</v>
      </c>
    </row>
    <row r="3564" spans="1:23">
      <c r="A3564"/>
      <c r="B3564" t="s">
        <v>84</v>
      </c>
      <c r="C3564" t="s">
        <v>84</v>
      </c>
      <c r="D3564" t="s">
        <v>33</v>
      </c>
      <c r="E3564" t="s">
        <v>34</v>
      </c>
      <c r="F3564" t="str">
        <f>"0003861"</f>
        <v>0003861</v>
      </c>
      <c r="G3564">
        <v>1</v>
      </c>
      <c r="H3564" t="str">
        <f>"00000000"</f>
        <v>00000000</v>
      </c>
      <c r="I3564" t="s">
        <v>35</v>
      </c>
      <c r="J3564"/>
      <c r="K3564">
        <v>9.13</v>
      </c>
      <c r="L3564">
        <v>0.0</v>
      </c>
      <c r="M3564"/>
      <c r="N3564"/>
      <c r="O3564">
        <v>1.64</v>
      </c>
      <c r="P3564">
        <v>0.2</v>
      </c>
      <c r="Q3564">
        <v>10.97</v>
      </c>
      <c r="R3564"/>
      <c r="S3564"/>
      <c r="T3564"/>
      <c r="U3564"/>
      <c r="V3564"/>
      <c r="W3564">
        <v>18</v>
      </c>
    </row>
    <row r="3565" spans="1:23">
      <c r="A3565"/>
      <c r="B3565" t="s">
        <v>84</v>
      </c>
      <c r="C3565" t="s">
        <v>84</v>
      </c>
      <c r="D3565" t="s">
        <v>33</v>
      </c>
      <c r="E3565" t="s">
        <v>34</v>
      </c>
      <c r="F3565" t="str">
        <f>"0003862"</f>
        <v>0003862</v>
      </c>
      <c r="G3565">
        <v>1</v>
      </c>
      <c r="H3565" t="str">
        <f>"00000000"</f>
        <v>00000000</v>
      </c>
      <c r="I3565" t="s">
        <v>35</v>
      </c>
      <c r="J3565"/>
      <c r="K3565">
        <v>16.12</v>
      </c>
      <c r="L3565">
        <v>0.0</v>
      </c>
      <c r="M3565"/>
      <c r="N3565"/>
      <c r="O3565">
        <v>2.9</v>
      </c>
      <c r="P3565">
        <v>0.2</v>
      </c>
      <c r="Q3565">
        <v>19.22</v>
      </c>
      <c r="R3565"/>
      <c r="S3565"/>
      <c r="T3565"/>
      <c r="U3565"/>
      <c r="V3565"/>
      <c r="W3565">
        <v>18</v>
      </c>
    </row>
    <row r="3566" spans="1:23">
      <c r="A3566"/>
      <c r="B3566" t="s">
        <v>84</v>
      </c>
      <c r="C3566" t="s">
        <v>84</v>
      </c>
      <c r="D3566" t="s">
        <v>33</v>
      </c>
      <c r="E3566" t="s">
        <v>34</v>
      </c>
      <c r="F3566" t="str">
        <f>"0003863"</f>
        <v>0003863</v>
      </c>
      <c r="G3566">
        <v>1</v>
      </c>
      <c r="H3566" t="str">
        <f>"00000000"</f>
        <v>00000000</v>
      </c>
      <c r="I3566" t="s">
        <v>35</v>
      </c>
      <c r="J3566"/>
      <c r="K3566">
        <v>67.47</v>
      </c>
      <c r="L3566">
        <v>0.0</v>
      </c>
      <c r="M3566"/>
      <c r="N3566"/>
      <c r="O3566">
        <v>12.15</v>
      </c>
      <c r="P3566">
        <v>0.2</v>
      </c>
      <c r="Q3566">
        <v>79.82</v>
      </c>
      <c r="R3566"/>
      <c r="S3566"/>
      <c r="T3566"/>
      <c r="U3566"/>
      <c r="V3566"/>
      <c r="W3566">
        <v>18</v>
      </c>
    </row>
    <row r="3567" spans="1:23">
      <c r="A3567"/>
      <c r="B3567" t="s">
        <v>84</v>
      </c>
      <c r="C3567" t="s">
        <v>84</v>
      </c>
      <c r="D3567" t="s">
        <v>33</v>
      </c>
      <c r="E3567" t="s">
        <v>34</v>
      </c>
      <c r="F3567" t="str">
        <f>"0003864"</f>
        <v>0003864</v>
      </c>
      <c r="G3567">
        <v>1</v>
      </c>
      <c r="H3567" t="str">
        <f>"00000000"</f>
        <v>00000000</v>
      </c>
      <c r="I3567" t="s">
        <v>35</v>
      </c>
      <c r="J3567"/>
      <c r="K3567">
        <v>17.73</v>
      </c>
      <c r="L3567">
        <v>0.0</v>
      </c>
      <c r="M3567"/>
      <c r="N3567"/>
      <c r="O3567">
        <v>3.19</v>
      </c>
      <c r="P3567">
        <v>0.2</v>
      </c>
      <c r="Q3567">
        <v>21.12</v>
      </c>
      <c r="R3567"/>
      <c r="S3567"/>
      <c r="T3567"/>
      <c r="U3567"/>
      <c r="V3567"/>
      <c r="W3567">
        <v>18</v>
      </c>
    </row>
    <row r="3568" spans="1:23">
      <c r="A3568"/>
      <c r="B3568" t="s">
        <v>84</v>
      </c>
      <c r="C3568" t="s">
        <v>84</v>
      </c>
      <c r="D3568" t="s">
        <v>33</v>
      </c>
      <c r="E3568" t="s">
        <v>34</v>
      </c>
      <c r="F3568" t="str">
        <f>"0003865"</f>
        <v>0003865</v>
      </c>
      <c r="G3568">
        <v>1</v>
      </c>
      <c r="H3568" t="str">
        <f>"00000000"</f>
        <v>00000000</v>
      </c>
      <c r="I3568" t="s">
        <v>35</v>
      </c>
      <c r="J3568"/>
      <c r="K3568">
        <v>8.67</v>
      </c>
      <c r="L3568">
        <v>3.35</v>
      </c>
      <c r="M3568"/>
      <c r="N3568"/>
      <c r="O3568">
        <v>1.56</v>
      </c>
      <c r="P3568">
        <v>0.2</v>
      </c>
      <c r="Q3568">
        <v>13.78</v>
      </c>
      <c r="R3568"/>
      <c r="S3568"/>
      <c r="T3568"/>
      <c r="U3568"/>
      <c r="V3568"/>
      <c r="W3568">
        <v>18</v>
      </c>
    </row>
    <row r="3569" spans="1:23">
      <c r="A3569"/>
      <c r="B3569" t="s">
        <v>84</v>
      </c>
      <c r="C3569" t="s">
        <v>84</v>
      </c>
      <c r="D3569" t="s">
        <v>33</v>
      </c>
      <c r="E3569" t="s">
        <v>34</v>
      </c>
      <c r="F3569" t="str">
        <f>"0003866"</f>
        <v>0003866</v>
      </c>
      <c r="G3569">
        <v>1</v>
      </c>
      <c r="H3569" t="str">
        <f>"00000000"</f>
        <v>00000000</v>
      </c>
      <c r="I3569" t="s">
        <v>35</v>
      </c>
      <c r="J3569"/>
      <c r="K3569">
        <v>23.15</v>
      </c>
      <c r="L3569">
        <v>0.0</v>
      </c>
      <c r="M3569"/>
      <c r="N3569"/>
      <c r="O3569">
        <v>4.17</v>
      </c>
      <c r="P3569">
        <v>0.2</v>
      </c>
      <c r="Q3569">
        <v>27.52</v>
      </c>
      <c r="R3569"/>
      <c r="S3569"/>
      <c r="T3569"/>
      <c r="U3569"/>
      <c r="V3569"/>
      <c r="W3569">
        <v>18</v>
      </c>
    </row>
    <row r="3570" spans="1:23">
      <c r="A3570"/>
      <c r="B3570" t="s">
        <v>84</v>
      </c>
      <c r="C3570" t="s">
        <v>84</v>
      </c>
      <c r="D3570" t="s">
        <v>33</v>
      </c>
      <c r="E3570" t="s">
        <v>34</v>
      </c>
      <c r="F3570" t="str">
        <f>"0003867"</f>
        <v>0003867</v>
      </c>
      <c r="G3570">
        <v>1</v>
      </c>
      <c r="H3570" t="str">
        <f>"00000000"</f>
        <v>00000000</v>
      </c>
      <c r="I3570" t="s">
        <v>35</v>
      </c>
      <c r="J3570"/>
      <c r="K3570">
        <v>9.34</v>
      </c>
      <c r="L3570">
        <v>0.0</v>
      </c>
      <c r="M3570"/>
      <c r="N3570"/>
      <c r="O3570">
        <v>1.68</v>
      </c>
      <c r="P3570">
        <v>0.2</v>
      </c>
      <c r="Q3570">
        <v>11.22</v>
      </c>
      <c r="R3570"/>
      <c r="S3570"/>
      <c r="T3570"/>
      <c r="U3570"/>
      <c r="V3570"/>
      <c r="W3570">
        <v>18</v>
      </c>
    </row>
    <row r="3571" spans="1:23">
      <c r="A3571"/>
      <c r="B3571" t="s">
        <v>84</v>
      </c>
      <c r="C3571" t="s">
        <v>84</v>
      </c>
      <c r="D3571" t="s">
        <v>33</v>
      </c>
      <c r="E3571" t="s">
        <v>34</v>
      </c>
      <c r="F3571" t="str">
        <f>"0003868"</f>
        <v>0003868</v>
      </c>
      <c r="G3571">
        <v>1</v>
      </c>
      <c r="H3571" t="str">
        <f>"00000000"</f>
        <v>00000000</v>
      </c>
      <c r="I3571" t="s">
        <v>35</v>
      </c>
      <c r="J3571"/>
      <c r="K3571">
        <v>3.14</v>
      </c>
      <c r="L3571">
        <v>0.0</v>
      </c>
      <c r="M3571"/>
      <c r="N3571"/>
      <c r="O3571">
        <v>0.56</v>
      </c>
      <c r="P3571">
        <v>0.0</v>
      </c>
      <c r="Q3571">
        <v>3.7</v>
      </c>
      <c r="R3571"/>
      <c r="S3571"/>
      <c r="T3571"/>
      <c r="U3571"/>
      <c r="V3571"/>
      <c r="W3571">
        <v>18</v>
      </c>
    </row>
    <row r="3572" spans="1:23">
      <c r="A3572"/>
      <c r="B3572" t="s">
        <v>84</v>
      </c>
      <c r="C3572" t="s">
        <v>84</v>
      </c>
      <c r="D3572" t="s">
        <v>33</v>
      </c>
      <c r="E3572" t="s">
        <v>34</v>
      </c>
      <c r="F3572" t="str">
        <f>"0003869"</f>
        <v>0003869</v>
      </c>
      <c r="G3572">
        <v>1</v>
      </c>
      <c r="H3572" t="str">
        <f>"00000000"</f>
        <v>00000000</v>
      </c>
      <c r="I3572" t="s">
        <v>35</v>
      </c>
      <c r="J3572"/>
      <c r="K3572">
        <v>38.57</v>
      </c>
      <c r="L3572">
        <v>0.0</v>
      </c>
      <c r="M3572"/>
      <c r="N3572"/>
      <c r="O3572">
        <v>6.94</v>
      </c>
      <c r="P3572">
        <v>0.2</v>
      </c>
      <c r="Q3572">
        <v>45.71</v>
      </c>
      <c r="R3572"/>
      <c r="S3572"/>
      <c r="T3572"/>
      <c r="U3572"/>
      <c r="V3572"/>
      <c r="W3572">
        <v>18</v>
      </c>
    </row>
    <row r="3573" spans="1:23">
      <c r="A3573"/>
      <c r="B3573" t="s">
        <v>84</v>
      </c>
      <c r="C3573" t="s">
        <v>84</v>
      </c>
      <c r="D3573" t="s">
        <v>33</v>
      </c>
      <c r="E3573" t="s">
        <v>34</v>
      </c>
      <c r="F3573" t="str">
        <f>"0003870"</f>
        <v>0003870</v>
      </c>
      <c r="G3573">
        <v>1</v>
      </c>
      <c r="H3573" t="str">
        <f>"00000000"</f>
        <v>00000000</v>
      </c>
      <c r="I3573" t="s">
        <v>35</v>
      </c>
      <c r="J3573"/>
      <c r="K3573">
        <v>21.54</v>
      </c>
      <c r="L3573">
        <v>0.0</v>
      </c>
      <c r="M3573"/>
      <c r="N3573"/>
      <c r="O3573">
        <v>3.88</v>
      </c>
      <c r="P3573">
        <v>0.2</v>
      </c>
      <c r="Q3573">
        <v>25.62</v>
      </c>
      <c r="R3573"/>
      <c r="S3573"/>
      <c r="T3573"/>
      <c r="U3573"/>
      <c r="V3573"/>
      <c r="W3573">
        <v>18</v>
      </c>
    </row>
    <row r="3574" spans="1:23">
      <c r="A3574"/>
      <c r="B3574" t="s">
        <v>84</v>
      </c>
      <c r="C3574" t="s">
        <v>84</v>
      </c>
      <c r="D3574" t="s">
        <v>33</v>
      </c>
      <c r="E3574" t="s">
        <v>34</v>
      </c>
      <c r="F3574" t="str">
        <f>"0003871"</f>
        <v>0003871</v>
      </c>
      <c r="G3574">
        <v>1</v>
      </c>
      <c r="H3574" t="str">
        <f>"00000000"</f>
        <v>00000000</v>
      </c>
      <c r="I3574" t="s">
        <v>35</v>
      </c>
      <c r="J3574"/>
      <c r="K3574">
        <v>34.66</v>
      </c>
      <c r="L3574">
        <v>0.0</v>
      </c>
      <c r="M3574"/>
      <c r="N3574"/>
      <c r="O3574">
        <v>6.24</v>
      </c>
      <c r="P3574">
        <v>0.0</v>
      </c>
      <c r="Q3574">
        <v>40.9</v>
      </c>
      <c r="R3574"/>
      <c r="S3574"/>
      <c r="T3574"/>
      <c r="U3574"/>
      <c r="V3574"/>
      <c r="W3574">
        <v>18</v>
      </c>
    </row>
    <row r="3575" spans="1:23">
      <c r="A3575"/>
      <c r="B3575" t="s">
        <v>84</v>
      </c>
      <c r="C3575" t="s">
        <v>84</v>
      </c>
      <c r="D3575" t="s">
        <v>33</v>
      </c>
      <c r="E3575" t="s">
        <v>34</v>
      </c>
      <c r="F3575" t="str">
        <f>"0003872"</f>
        <v>0003872</v>
      </c>
      <c r="G3575">
        <v>1</v>
      </c>
      <c r="H3575" t="str">
        <f>"00000000"</f>
        <v>00000000</v>
      </c>
      <c r="I3575" t="s">
        <v>35</v>
      </c>
      <c r="J3575"/>
      <c r="K3575">
        <v>32.47</v>
      </c>
      <c r="L3575">
        <v>0.0</v>
      </c>
      <c r="M3575"/>
      <c r="N3575"/>
      <c r="O3575">
        <v>5.84</v>
      </c>
      <c r="P3575">
        <v>0.2</v>
      </c>
      <c r="Q3575">
        <v>38.51</v>
      </c>
      <c r="R3575"/>
      <c r="S3575"/>
      <c r="T3575"/>
      <c r="U3575"/>
      <c r="V3575"/>
      <c r="W3575">
        <v>18</v>
      </c>
    </row>
    <row r="3576" spans="1:23">
      <c r="A3576"/>
      <c r="B3576" t="s">
        <v>84</v>
      </c>
      <c r="C3576" t="s">
        <v>84</v>
      </c>
      <c r="D3576" t="s">
        <v>33</v>
      </c>
      <c r="E3576" t="s">
        <v>34</v>
      </c>
      <c r="F3576" t="str">
        <f>"0003873"</f>
        <v>0003873</v>
      </c>
      <c r="G3576">
        <v>1</v>
      </c>
      <c r="H3576" t="str">
        <f>"00000000"</f>
        <v>00000000</v>
      </c>
      <c r="I3576" t="s">
        <v>35</v>
      </c>
      <c r="J3576"/>
      <c r="K3576">
        <v>13.49</v>
      </c>
      <c r="L3576">
        <v>0.0</v>
      </c>
      <c r="M3576"/>
      <c r="N3576"/>
      <c r="O3576">
        <v>2.43</v>
      </c>
      <c r="P3576">
        <v>0.2</v>
      </c>
      <c r="Q3576">
        <v>16.12</v>
      </c>
      <c r="R3576"/>
      <c r="S3576"/>
      <c r="T3576"/>
      <c r="U3576"/>
      <c r="V3576"/>
      <c r="W3576">
        <v>18</v>
      </c>
    </row>
    <row r="3577" spans="1:23">
      <c r="A3577"/>
      <c r="B3577" t="s">
        <v>84</v>
      </c>
      <c r="C3577" t="s">
        <v>84</v>
      </c>
      <c r="D3577" t="s">
        <v>33</v>
      </c>
      <c r="E3577" t="s">
        <v>34</v>
      </c>
      <c r="F3577" t="str">
        <f>"0003874"</f>
        <v>0003874</v>
      </c>
      <c r="G3577">
        <v>1</v>
      </c>
      <c r="H3577" t="str">
        <f>"00000000"</f>
        <v>00000000</v>
      </c>
      <c r="I3577" t="s">
        <v>35</v>
      </c>
      <c r="J3577"/>
      <c r="K3577">
        <v>0.0</v>
      </c>
      <c r="L3577">
        <v>0.25</v>
      </c>
      <c r="M3577"/>
      <c r="N3577"/>
      <c r="O3577">
        <v>0.0</v>
      </c>
      <c r="P3577">
        <v>0.0</v>
      </c>
      <c r="Q3577">
        <v>0.25</v>
      </c>
      <c r="R3577"/>
      <c r="S3577"/>
      <c r="T3577"/>
      <c r="U3577"/>
      <c r="V3577"/>
      <c r="W3577">
        <v>18</v>
      </c>
    </row>
    <row r="3578" spans="1:23">
      <c r="A3578"/>
      <c r="B3578" t="s">
        <v>84</v>
      </c>
      <c r="C3578" t="s">
        <v>84</v>
      </c>
      <c r="D3578" t="s">
        <v>33</v>
      </c>
      <c r="E3578" t="s">
        <v>34</v>
      </c>
      <c r="F3578" t="str">
        <f>"0003875"</f>
        <v>0003875</v>
      </c>
      <c r="G3578">
        <v>1</v>
      </c>
      <c r="H3578" t="str">
        <f>"00000000"</f>
        <v>00000000</v>
      </c>
      <c r="I3578" t="s">
        <v>35</v>
      </c>
      <c r="J3578"/>
      <c r="K3578">
        <v>0.9</v>
      </c>
      <c r="L3578">
        <v>0.0</v>
      </c>
      <c r="M3578"/>
      <c r="N3578"/>
      <c r="O3578">
        <v>0.16</v>
      </c>
      <c r="P3578">
        <v>0.0</v>
      </c>
      <c r="Q3578">
        <v>1.06</v>
      </c>
      <c r="R3578"/>
      <c r="S3578"/>
      <c r="T3578"/>
      <c r="U3578"/>
      <c r="V3578"/>
      <c r="W3578">
        <v>18</v>
      </c>
    </row>
    <row r="3579" spans="1:23">
      <c r="A3579"/>
      <c r="B3579" t="s">
        <v>85</v>
      </c>
      <c r="C3579" t="s">
        <v>85</v>
      </c>
      <c r="D3579" t="s">
        <v>36</v>
      </c>
      <c r="E3579" t="s">
        <v>37</v>
      </c>
      <c r="F3579" t="str">
        <f>"0000048"</f>
        <v>0000048</v>
      </c>
      <c r="G3579">
        <v>6</v>
      </c>
      <c r="H3579" t="str">
        <f>"10164843179"</f>
        <v>10164843179</v>
      </c>
      <c r="I3579" t="s">
        <v>76</v>
      </c>
      <c r="J3579"/>
      <c r="K3579">
        <v>9.75</v>
      </c>
      <c r="L3579">
        <v>0.0</v>
      </c>
      <c r="M3579"/>
      <c r="N3579"/>
      <c r="O3579">
        <v>1.75</v>
      </c>
      <c r="P3579">
        <v>0.0</v>
      </c>
      <c r="Q3579">
        <v>11.5</v>
      </c>
      <c r="R3579"/>
      <c r="S3579"/>
      <c r="T3579"/>
      <c r="U3579"/>
      <c r="V3579"/>
      <c r="W3579">
        <v>18</v>
      </c>
    </row>
    <row r="3580" spans="1:23">
      <c r="A3580"/>
      <c r="B3580" t="s">
        <v>85</v>
      </c>
      <c r="C3580" t="s">
        <v>85</v>
      </c>
      <c r="D3580" t="s">
        <v>33</v>
      </c>
      <c r="E3580" t="s">
        <v>34</v>
      </c>
      <c r="F3580" t="str">
        <f>"0003876"</f>
        <v>0003876</v>
      </c>
      <c r="G3580">
        <v>1</v>
      </c>
      <c r="H3580" t="str">
        <f>"00000000"</f>
        <v>00000000</v>
      </c>
      <c r="I3580" t="s">
        <v>35</v>
      </c>
      <c r="J3580"/>
      <c r="K3580">
        <v>11.25</v>
      </c>
      <c r="L3580">
        <v>11.21</v>
      </c>
      <c r="M3580"/>
      <c r="N3580"/>
      <c r="O3580">
        <v>2.03</v>
      </c>
      <c r="P3580">
        <v>0.4</v>
      </c>
      <c r="Q3580">
        <v>24.89</v>
      </c>
      <c r="R3580"/>
      <c r="S3580"/>
      <c r="T3580"/>
      <c r="U3580"/>
      <c r="V3580"/>
      <c r="W3580">
        <v>18</v>
      </c>
    </row>
    <row r="3581" spans="1:23">
      <c r="A3581"/>
      <c r="B3581" t="s">
        <v>85</v>
      </c>
      <c r="C3581" t="s">
        <v>85</v>
      </c>
      <c r="D3581" t="s">
        <v>33</v>
      </c>
      <c r="E3581" t="s">
        <v>34</v>
      </c>
      <c r="F3581" t="str">
        <f>"0003877"</f>
        <v>0003877</v>
      </c>
      <c r="G3581">
        <v>1</v>
      </c>
      <c r="H3581" t="str">
        <f>"00000000"</f>
        <v>00000000</v>
      </c>
      <c r="I3581" t="s">
        <v>35</v>
      </c>
      <c r="J3581"/>
      <c r="K3581">
        <v>2.53</v>
      </c>
      <c r="L3581">
        <v>0.0</v>
      </c>
      <c r="M3581"/>
      <c r="N3581"/>
      <c r="O3581">
        <v>0.46</v>
      </c>
      <c r="P3581">
        <v>0.0</v>
      </c>
      <c r="Q3581">
        <v>2.99</v>
      </c>
      <c r="R3581"/>
      <c r="S3581"/>
      <c r="T3581"/>
      <c r="U3581"/>
      <c r="V3581"/>
      <c r="W3581">
        <v>18</v>
      </c>
    </row>
    <row r="3582" spans="1:23">
      <c r="A3582"/>
      <c r="B3582" t="s">
        <v>85</v>
      </c>
      <c r="C3582" t="s">
        <v>85</v>
      </c>
      <c r="D3582" t="s">
        <v>33</v>
      </c>
      <c r="E3582" t="s">
        <v>34</v>
      </c>
      <c r="F3582" t="str">
        <f>"0003878"</f>
        <v>0003878</v>
      </c>
      <c r="G3582">
        <v>1</v>
      </c>
      <c r="H3582" t="str">
        <f>"00000000"</f>
        <v>00000000</v>
      </c>
      <c r="I3582" t="s">
        <v>35</v>
      </c>
      <c r="J3582"/>
      <c r="K3582">
        <v>4.07</v>
      </c>
      <c r="L3582">
        <v>0.0</v>
      </c>
      <c r="M3582"/>
      <c r="N3582"/>
      <c r="O3582">
        <v>0.73</v>
      </c>
      <c r="P3582">
        <v>0.0</v>
      </c>
      <c r="Q3582">
        <v>4.8</v>
      </c>
      <c r="R3582"/>
      <c r="S3582"/>
      <c r="T3582"/>
      <c r="U3582"/>
      <c r="V3582"/>
      <c r="W3582">
        <v>18</v>
      </c>
    </row>
    <row r="3583" spans="1:23">
      <c r="A3583"/>
      <c r="B3583" t="s">
        <v>85</v>
      </c>
      <c r="C3583" t="s">
        <v>85</v>
      </c>
      <c r="D3583" t="s">
        <v>33</v>
      </c>
      <c r="E3583" t="s">
        <v>34</v>
      </c>
      <c r="F3583" t="str">
        <f>"0003879"</f>
        <v>0003879</v>
      </c>
      <c r="G3583">
        <v>1</v>
      </c>
      <c r="H3583" t="str">
        <f>"00000000"</f>
        <v>00000000</v>
      </c>
      <c r="I3583" t="s">
        <v>35</v>
      </c>
      <c r="J3583"/>
      <c r="K3583">
        <v>4.15</v>
      </c>
      <c r="L3583">
        <v>0.0</v>
      </c>
      <c r="M3583"/>
      <c r="N3583"/>
      <c r="O3583">
        <v>0.75</v>
      </c>
      <c r="P3583">
        <v>0.0</v>
      </c>
      <c r="Q3583">
        <v>4.9</v>
      </c>
      <c r="R3583"/>
      <c r="S3583"/>
      <c r="T3583"/>
      <c r="U3583"/>
      <c r="V3583"/>
      <c r="W3583">
        <v>18</v>
      </c>
    </row>
    <row r="3584" spans="1:23">
      <c r="A3584"/>
      <c r="B3584" t="s">
        <v>85</v>
      </c>
      <c r="C3584" t="s">
        <v>85</v>
      </c>
      <c r="D3584" t="s">
        <v>33</v>
      </c>
      <c r="E3584" t="s">
        <v>34</v>
      </c>
      <c r="F3584" t="str">
        <f>"0003880"</f>
        <v>0003880</v>
      </c>
      <c r="G3584">
        <v>1</v>
      </c>
      <c r="H3584" t="str">
        <f>"00000000"</f>
        <v>00000000</v>
      </c>
      <c r="I3584" t="s">
        <v>35</v>
      </c>
      <c r="J3584"/>
      <c r="K3584">
        <v>14.71</v>
      </c>
      <c r="L3584">
        <v>0.0</v>
      </c>
      <c r="M3584"/>
      <c r="N3584"/>
      <c r="O3584">
        <v>2.65</v>
      </c>
      <c r="P3584">
        <v>0.2</v>
      </c>
      <c r="Q3584">
        <v>17.56</v>
      </c>
      <c r="R3584"/>
      <c r="S3584"/>
      <c r="T3584"/>
      <c r="U3584"/>
      <c r="V3584"/>
      <c r="W3584">
        <v>18</v>
      </c>
    </row>
    <row r="3585" spans="1:23">
      <c r="A3585"/>
      <c r="B3585" t="s">
        <v>85</v>
      </c>
      <c r="C3585" t="s">
        <v>85</v>
      </c>
      <c r="D3585" t="s">
        <v>33</v>
      </c>
      <c r="E3585" t="s">
        <v>34</v>
      </c>
      <c r="F3585" t="str">
        <f>"0003881"</f>
        <v>0003881</v>
      </c>
      <c r="G3585">
        <v>1</v>
      </c>
      <c r="H3585" t="str">
        <f>"00000000"</f>
        <v>00000000</v>
      </c>
      <c r="I3585" t="s">
        <v>35</v>
      </c>
      <c r="J3585"/>
      <c r="K3585">
        <v>7.53</v>
      </c>
      <c r="L3585">
        <v>6.34</v>
      </c>
      <c r="M3585"/>
      <c r="N3585"/>
      <c r="O3585">
        <v>1.36</v>
      </c>
      <c r="P3585">
        <v>0.4</v>
      </c>
      <c r="Q3585">
        <v>15.63</v>
      </c>
      <c r="R3585"/>
      <c r="S3585"/>
      <c r="T3585"/>
      <c r="U3585"/>
      <c r="V3585"/>
      <c r="W3585">
        <v>18</v>
      </c>
    </row>
    <row r="3586" spans="1:23">
      <c r="A3586"/>
      <c r="B3586" t="s">
        <v>85</v>
      </c>
      <c r="C3586" t="s">
        <v>85</v>
      </c>
      <c r="D3586" t="s">
        <v>33</v>
      </c>
      <c r="E3586" t="s">
        <v>34</v>
      </c>
      <c r="F3586" t="str">
        <f>"0003882"</f>
        <v>0003882</v>
      </c>
      <c r="G3586">
        <v>1</v>
      </c>
      <c r="H3586" t="str">
        <f>"00000000"</f>
        <v>00000000</v>
      </c>
      <c r="I3586" t="s">
        <v>35</v>
      </c>
      <c r="J3586"/>
      <c r="K3586">
        <v>13.15</v>
      </c>
      <c r="L3586">
        <v>2.82</v>
      </c>
      <c r="M3586"/>
      <c r="N3586"/>
      <c r="O3586">
        <v>2.37</v>
      </c>
      <c r="P3586">
        <v>0.2</v>
      </c>
      <c r="Q3586">
        <v>18.54</v>
      </c>
      <c r="R3586"/>
      <c r="S3586"/>
      <c r="T3586"/>
      <c r="U3586"/>
      <c r="V3586"/>
      <c r="W3586">
        <v>18</v>
      </c>
    </row>
    <row r="3587" spans="1:23">
      <c r="A3587"/>
      <c r="B3587" t="s">
        <v>85</v>
      </c>
      <c r="C3587" t="s">
        <v>85</v>
      </c>
      <c r="D3587" t="s">
        <v>33</v>
      </c>
      <c r="E3587" t="s">
        <v>34</v>
      </c>
      <c r="F3587" t="str">
        <f>"0003883"</f>
        <v>0003883</v>
      </c>
      <c r="G3587">
        <v>1</v>
      </c>
      <c r="H3587" t="str">
        <f>"00000000"</f>
        <v>00000000</v>
      </c>
      <c r="I3587" t="s">
        <v>35</v>
      </c>
      <c r="J3587"/>
      <c r="K3587">
        <v>13.56</v>
      </c>
      <c r="L3587">
        <v>0.0</v>
      </c>
      <c r="M3587"/>
      <c r="N3587"/>
      <c r="O3587">
        <v>2.44</v>
      </c>
      <c r="P3587">
        <v>0.0</v>
      </c>
      <c r="Q3587">
        <v>16.0</v>
      </c>
      <c r="R3587"/>
      <c r="S3587"/>
      <c r="T3587"/>
      <c r="U3587"/>
      <c r="V3587"/>
      <c r="W3587">
        <v>18</v>
      </c>
    </row>
    <row r="3588" spans="1:23">
      <c r="A3588"/>
      <c r="B3588" t="s">
        <v>85</v>
      </c>
      <c r="C3588" t="s">
        <v>85</v>
      </c>
      <c r="D3588" t="s">
        <v>33</v>
      </c>
      <c r="E3588" t="s">
        <v>34</v>
      </c>
      <c r="F3588" t="str">
        <f>"0003884"</f>
        <v>0003884</v>
      </c>
      <c r="G3588">
        <v>1</v>
      </c>
      <c r="H3588" t="str">
        <f>"00000000"</f>
        <v>00000000</v>
      </c>
      <c r="I3588" t="s">
        <v>35</v>
      </c>
      <c r="J3588"/>
      <c r="K3588">
        <v>13.86</v>
      </c>
      <c r="L3588">
        <v>3.0</v>
      </c>
      <c r="M3588"/>
      <c r="N3588"/>
      <c r="O3588">
        <v>2.49</v>
      </c>
      <c r="P3588">
        <v>0.2</v>
      </c>
      <c r="Q3588">
        <v>19.55</v>
      </c>
      <c r="R3588"/>
      <c r="S3588"/>
      <c r="T3588"/>
      <c r="U3588"/>
      <c r="V3588"/>
      <c r="W3588">
        <v>18</v>
      </c>
    </row>
    <row r="3589" spans="1:23">
      <c r="A3589"/>
      <c r="B3589" t="s">
        <v>85</v>
      </c>
      <c r="C3589" t="s">
        <v>85</v>
      </c>
      <c r="D3589" t="s">
        <v>33</v>
      </c>
      <c r="E3589" t="s">
        <v>34</v>
      </c>
      <c r="F3589" t="str">
        <f>"0003885"</f>
        <v>0003885</v>
      </c>
      <c r="G3589">
        <v>1</v>
      </c>
      <c r="H3589" t="str">
        <f>"00000000"</f>
        <v>00000000</v>
      </c>
      <c r="I3589" t="s">
        <v>35</v>
      </c>
      <c r="J3589"/>
      <c r="K3589">
        <v>0.0</v>
      </c>
      <c r="L3589">
        <v>3.11</v>
      </c>
      <c r="M3589"/>
      <c r="N3589"/>
      <c r="O3589">
        <v>0.0</v>
      </c>
      <c r="P3589">
        <v>0.0</v>
      </c>
      <c r="Q3589">
        <v>3.11</v>
      </c>
      <c r="R3589"/>
      <c r="S3589"/>
      <c r="T3589"/>
      <c r="U3589"/>
      <c r="V3589"/>
      <c r="W3589">
        <v>18</v>
      </c>
    </row>
    <row r="3590" spans="1:23">
      <c r="A3590"/>
      <c r="B3590" t="s">
        <v>85</v>
      </c>
      <c r="C3590" t="s">
        <v>85</v>
      </c>
      <c r="D3590" t="s">
        <v>33</v>
      </c>
      <c r="E3590" t="s">
        <v>34</v>
      </c>
      <c r="F3590" t="str">
        <f>"0003886"</f>
        <v>0003886</v>
      </c>
      <c r="G3590">
        <v>1</v>
      </c>
      <c r="H3590" t="str">
        <f>"00000000"</f>
        <v>00000000</v>
      </c>
      <c r="I3590" t="s">
        <v>35</v>
      </c>
      <c r="J3590"/>
      <c r="K3590">
        <v>2.12</v>
      </c>
      <c r="L3590">
        <v>0.0</v>
      </c>
      <c r="M3590"/>
      <c r="N3590"/>
      <c r="O3590">
        <v>0.38</v>
      </c>
      <c r="P3590">
        <v>0.0</v>
      </c>
      <c r="Q3590">
        <v>2.5</v>
      </c>
      <c r="R3590"/>
      <c r="S3590"/>
      <c r="T3590"/>
      <c r="U3590"/>
      <c r="V3590"/>
      <c r="W3590">
        <v>18</v>
      </c>
    </row>
    <row r="3591" spans="1:23">
      <c r="A3591"/>
      <c r="B3591" t="s">
        <v>85</v>
      </c>
      <c r="C3591" t="s">
        <v>85</v>
      </c>
      <c r="D3591" t="s">
        <v>33</v>
      </c>
      <c r="E3591" t="s">
        <v>34</v>
      </c>
      <c r="F3591" t="str">
        <f>"0003887"</f>
        <v>0003887</v>
      </c>
      <c r="G3591">
        <v>1</v>
      </c>
      <c r="H3591" t="str">
        <f>"00000000"</f>
        <v>00000000</v>
      </c>
      <c r="I3591" t="s">
        <v>35</v>
      </c>
      <c r="J3591"/>
      <c r="K3591">
        <v>5.08</v>
      </c>
      <c r="L3591">
        <v>0.0</v>
      </c>
      <c r="M3591"/>
      <c r="N3591"/>
      <c r="O3591">
        <v>0.92</v>
      </c>
      <c r="P3591">
        <v>0.0</v>
      </c>
      <c r="Q3591">
        <v>6.0</v>
      </c>
      <c r="R3591"/>
      <c r="S3591"/>
      <c r="T3591"/>
      <c r="U3591"/>
      <c r="V3591"/>
      <c r="W3591">
        <v>18</v>
      </c>
    </row>
    <row r="3592" spans="1:23">
      <c r="A3592"/>
      <c r="B3592" t="s">
        <v>85</v>
      </c>
      <c r="C3592" t="s">
        <v>85</v>
      </c>
      <c r="D3592" t="s">
        <v>33</v>
      </c>
      <c r="E3592" t="s">
        <v>34</v>
      </c>
      <c r="F3592" t="str">
        <f>"0003888"</f>
        <v>0003888</v>
      </c>
      <c r="G3592">
        <v>1</v>
      </c>
      <c r="H3592" t="str">
        <f>"00000000"</f>
        <v>00000000</v>
      </c>
      <c r="I3592" t="s">
        <v>35</v>
      </c>
      <c r="J3592"/>
      <c r="K3592">
        <v>1.86</v>
      </c>
      <c r="L3592">
        <v>0.0</v>
      </c>
      <c r="M3592"/>
      <c r="N3592"/>
      <c r="O3592">
        <v>0.34</v>
      </c>
      <c r="P3592">
        <v>0.0</v>
      </c>
      <c r="Q3592">
        <v>2.2</v>
      </c>
      <c r="R3592"/>
      <c r="S3592"/>
      <c r="T3592"/>
      <c r="U3592"/>
      <c r="V3592"/>
      <c r="W3592">
        <v>18</v>
      </c>
    </row>
    <row r="3593" spans="1:23">
      <c r="A3593"/>
      <c r="B3593" t="s">
        <v>85</v>
      </c>
      <c r="C3593" t="s">
        <v>85</v>
      </c>
      <c r="D3593" t="s">
        <v>33</v>
      </c>
      <c r="E3593" t="s">
        <v>34</v>
      </c>
      <c r="F3593" t="str">
        <f>"0003889"</f>
        <v>0003889</v>
      </c>
      <c r="G3593">
        <v>1</v>
      </c>
      <c r="H3593" t="str">
        <f>"00000000"</f>
        <v>00000000</v>
      </c>
      <c r="I3593" t="s">
        <v>35</v>
      </c>
      <c r="J3593"/>
      <c r="K3593">
        <v>132.75</v>
      </c>
      <c r="L3593">
        <v>0.0</v>
      </c>
      <c r="M3593"/>
      <c r="N3593"/>
      <c r="O3593">
        <v>23.89</v>
      </c>
      <c r="P3593">
        <v>0.4</v>
      </c>
      <c r="Q3593">
        <v>157.04</v>
      </c>
      <c r="R3593"/>
      <c r="S3593"/>
      <c r="T3593"/>
      <c r="U3593"/>
      <c r="V3593"/>
      <c r="W3593">
        <v>18</v>
      </c>
    </row>
    <row r="3594" spans="1:23">
      <c r="A3594"/>
      <c r="B3594" t="s">
        <v>85</v>
      </c>
      <c r="C3594" t="s">
        <v>85</v>
      </c>
      <c r="D3594" t="s">
        <v>33</v>
      </c>
      <c r="E3594" t="s">
        <v>34</v>
      </c>
      <c r="F3594" t="str">
        <f>"0003890"</f>
        <v>0003890</v>
      </c>
      <c r="G3594">
        <v>1</v>
      </c>
      <c r="H3594" t="str">
        <f>"00000000"</f>
        <v>00000000</v>
      </c>
      <c r="I3594" t="s">
        <v>35</v>
      </c>
      <c r="J3594"/>
      <c r="K3594">
        <v>6.68</v>
      </c>
      <c r="L3594">
        <v>12.86</v>
      </c>
      <c r="M3594"/>
      <c r="N3594"/>
      <c r="O3594">
        <v>1.2</v>
      </c>
      <c r="P3594">
        <v>0.2</v>
      </c>
      <c r="Q3594">
        <v>20.94</v>
      </c>
      <c r="R3594"/>
      <c r="S3594"/>
      <c r="T3594"/>
      <c r="U3594"/>
      <c r="V3594"/>
      <c r="W3594">
        <v>18</v>
      </c>
    </row>
    <row r="3595" spans="1:23">
      <c r="A3595"/>
      <c r="B3595" t="s">
        <v>85</v>
      </c>
      <c r="C3595" t="s">
        <v>85</v>
      </c>
      <c r="D3595" t="s">
        <v>33</v>
      </c>
      <c r="E3595" t="s">
        <v>34</v>
      </c>
      <c r="F3595" t="str">
        <f>"0003891"</f>
        <v>0003891</v>
      </c>
      <c r="G3595">
        <v>1</v>
      </c>
      <c r="H3595" t="str">
        <f>"00000000"</f>
        <v>00000000</v>
      </c>
      <c r="I3595" t="s">
        <v>35</v>
      </c>
      <c r="J3595"/>
      <c r="K3595">
        <v>116.31</v>
      </c>
      <c r="L3595">
        <v>3.3</v>
      </c>
      <c r="M3595"/>
      <c r="N3595"/>
      <c r="O3595">
        <v>20.93</v>
      </c>
      <c r="P3595">
        <v>0.4</v>
      </c>
      <c r="Q3595">
        <v>140.94</v>
      </c>
      <c r="R3595"/>
      <c r="S3595"/>
      <c r="T3595"/>
      <c r="U3595"/>
      <c r="V3595"/>
      <c r="W3595">
        <v>18</v>
      </c>
    </row>
    <row r="3596" spans="1:23">
      <c r="A3596"/>
      <c r="B3596" t="s">
        <v>85</v>
      </c>
      <c r="C3596" t="s">
        <v>85</v>
      </c>
      <c r="D3596" t="s">
        <v>33</v>
      </c>
      <c r="E3596" t="s">
        <v>34</v>
      </c>
      <c r="F3596" t="str">
        <f>"0003892"</f>
        <v>0003892</v>
      </c>
      <c r="G3596">
        <v>1</v>
      </c>
      <c r="H3596" t="str">
        <f>"00000000"</f>
        <v>00000000</v>
      </c>
      <c r="I3596" t="s">
        <v>35</v>
      </c>
      <c r="J3596"/>
      <c r="K3596">
        <v>10.88</v>
      </c>
      <c r="L3596">
        <v>0.0</v>
      </c>
      <c r="M3596"/>
      <c r="N3596"/>
      <c r="O3596">
        <v>1.96</v>
      </c>
      <c r="P3596">
        <v>0.2</v>
      </c>
      <c r="Q3596">
        <v>13.04</v>
      </c>
      <c r="R3596"/>
      <c r="S3596"/>
      <c r="T3596"/>
      <c r="U3596"/>
      <c r="V3596"/>
      <c r="W3596">
        <v>18</v>
      </c>
    </row>
    <row r="3597" spans="1:23">
      <c r="A3597"/>
      <c r="B3597" t="s">
        <v>85</v>
      </c>
      <c r="C3597" t="s">
        <v>85</v>
      </c>
      <c r="D3597" t="s">
        <v>33</v>
      </c>
      <c r="E3597" t="s">
        <v>34</v>
      </c>
      <c r="F3597" t="str">
        <f>"0003893"</f>
        <v>0003893</v>
      </c>
      <c r="G3597">
        <v>1</v>
      </c>
      <c r="H3597" t="str">
        <f>"00000000"</f>
        <v>00000000</v>
      </c>
      <c r="I3597" t="s">
        <v>35</v>
      </c>
      <c r="J3597"/>
      <c r="K3597">
        <v>10.0</v>
      </c>
      <c r="L3597">
        <v>0.0</v>
      </c>
      <c r="M3597"/>
      <c r="N3597"/>
      <c r="O3597">
        <v>1.8</v>
      </c>
      <c r="P3597">
        <v>0.0</v>
      </c>
      <c r="Q3597">
        <v>11.8</v>
      </c>
      <c r="R3597"/>
      <c r="S3597"/>
      <c r="T3597"/>
      <c r="U3597"/>
      <c r="V3597"/>
      <c r="W3597">
        <v>18</v>
      </c>
    </row>
    <row r="3598" spans="1:23">
      <c r="A3598"/>
      <c r="B3598" t="s">
        <v>85</v>
      </c>
      <c r="C3598" t="s">
        <v>85</v>
      </c>
      <c r="D3598" t="s">
        <v>33</v>
      </c>
      <c r="E3598" t="s">
        <v>34</v>
      </c>
      <c r="F3598" t="str">
        <f>"0003894"</f>
        <v>0003894</v>
      </c>
      <c r="G3598">
        <v>1</v>
      </c>
      <c r="H3598" t="str">
        <f>"00000000"</f>
        <v>00000000</v>
      </c>
      <c r="I3598" t="s">
        <v>35</v>
      </c>
      <c r="J3598"/>
      <c r="K3598">
        <v>5.08</v>
      </c>
      <c r="L3598">
        <v>0.0</v>
      </c>
      <c r="M3598"/>
      <c r="N3598"/>
      <c r="O3598">
        <v>0.92</v>
      </c>
      <c r="P3598">
        <v>0.0</v>
      </c>
      <c r="Q3598">
        <v>6.0</v>
      </c>
      <c r="R3598"/>
      <c r="S3598"/>
      <c r="T3598"/>
      <c r="U3598"/>
      <c r="V3598"/>
      <c r="W3598">
        <v>18</v>
      </c>
    </row>
    <row r="3599" spans="1:23">
      <c r="A3599"/>
      <c r="B3599" t="s">
        <v>85</v>
      </c>
      <c r="C3599" t="s">
        <v>85</v>
      </c>
      <c r="D3599" t="s">
        <v>33</v>
      </c>
      <c r="E3599" t="s">
        <v>34</v>
      </c>
      <c r="F3599" t="str">
        <f>"0003895"</f>
        <v>0003895</v>
      </c>
      <c r="G3599">
        <v>1</v>
      </c>
      <c r="H3599" t="str">
        <f>"00000000"</f>
        <v>00000000</v>
      </c>
      <c r="I3599" t="s">
        <v>35</v>
      </c>
      <c r="J3599"/>
      <c r="K3599">
        <v>41.82</v>
      </c>
      <c r="L3599">
        <v>0.27</v>
      </c>
      <c r="M3599"/>
      <c r="N3599"/>
      <c r="O3599">
        <v>7.53</v>
      </c>
      <c r="P3599">
        <v>0.2</v>
      </c>
      <c r="Q3599">
        <v>49.82</v>
      </c>
      <c r="R3599"/>
      <c r="S3599"/>
      <c r="T3599"/>
      <c r="U3599"/>
      <c r="V3599"/>
      <c r="W3599">
        <v>18</v>
      </c>
    </row>
    <row r="3600" spans="1:23">
      <c r="A3600"/>
      <c r="B3600" t="s">
        <v>85</v>
      </c>
      <c r="C3600" t="s">
        <v>85</v>
      </c>
      <c r="D3600" t="s">
        <v>33</v>
      </c>
      <c r="E3600" t="s">
        <v>34</v>
      </c>
      <c r="F3600" t="str">
        <f>"0003896"</f>
        <v>0003896</v>
      </c>
      <c r="G3600">
        <v>1</v>
      </c>
      <c r="H3600" t="str">
        <f>"00000000"</f>
        <v>00000000</v>
      </c>
      <c r="I3600" t="s">
        <v>35</v>
      </c>
      <c r="J3600"/>
      <c r="K3600">
        <v>5.02</v>
      </c>
      <c r="L3600">
        <v>3.37</v>
      </c>
      <c r="M3600"/>
      <c r="N3600"/>
      <c r="O3600">
        <v>0.9</v>
      </c>
      <c r="P3600">
        <v>0.2</v>
      </c>
      <c r="Q3600">
        <v>9.5</v>
      </c>
      <c r="R3600"/>
      <c r="S3600"/>
      <c r="T3600"/>
      <c r="U3600"/>
      <c r="V3600"/>
      <c r="W3600">
        <v>18</v>
      </c>
    </row>
    <row r="3601" spans="1:23">
      <c r="A3601"/>
      <c r="B3601" t="s">
        <v>85</v>
      </c>
      <c r="C3601" t="s">
        <v>85</v>
      </c>
      <c r="D3601" t="s">
        <v>33</v>
      </c>
      <c r="E3601" t="s">
        <v>34</v>
      </c>
      <c r="F3601" t="str">
        <f>"0003897"</f>
        <v>0003897</v>
      </c>
      <c r="G3601">
        <v>1</v>
      </c>
      <c r="H3601" t="str">
        <f>"00000000"</f>
        <v>00000000</v>
      </c>
      <c r="I3601" t="s">
        <v>35</v>
      </c>
      <c r="J3601"/>
      <c r="K3601">
        <v>0.36</v>
      </c>
      <c r="L3601">
        <v>0.0</v>
      </c>
      <c r="M3601"/>
      <c r="N3601"/>
      <c r="O3601">
        <v>0.06</v>
      </c>
      <c r="P3601">
        <v>0.0</v>
      </c>
      <c r="Q3601">
        <v>0.42</v>
      </c>
      <c r="R3601"/>
      <c r="S3601"/>
      <c r="T3601"/>
      <c r="U3601"/>
      <c r="V3601"/>
      <c r="W3601">
        <v>18</v>
      </c>
    </row>
    <row r="3602" spans="1:23">
      <c r="A3602"/>
      <c r="B3602" t="s">
        <v>85</v>
      </c>
      <c r="C3602" t="s">
        <v>85</v>
      </c>
      <c r="D3602" t="s">
        <v>33</v>
      </c>
      <c r="E3602" t="s">
        <v>34</v>
      </c>
      <c r="F3602" t="str">
        <f>"0003898"</f>
        <v>0003898</v>
      </c>
      <c r="G3602">
        <v>1</v>
      </c>
      <c r="H3602" t="str">
        <f>"00000000"</f>
        <v>00000000</v>
      </c>
      <c r="I3602" t="s">
        <v>35</v>
      </c>
      <c r="J3602"/>
      <c r="K3602">
        <v>6.61</v>
      </c>
      <c r="L3602">
        <v>0.0</v>
      </c>
      <c r="M3602"/>
      <c r="N3602"/>
      <c r="O3602">
        <v>1.19</v>
      </c>
      <c r="P3602">
        <v>0.0</v>
      </c>
      <c r="Q3602">
        <v>7.8</v>
      </c>
      <c r="R3602"/>
      <c r="S3602"/>
      <c r="T3602"/>
      <c r="U3602"/>
      <c r="V3602"/>
      <c r="W3602">
        <v>18</v>
      </c>
    </row>
    <row r="3603" spans="1:23">
      <c r="A3603"/>
      <c r="B3603" t="s">
        <v>85</v>
      </c>
      <c r="C3603" t="s">
        <v>85</v>
      </c>
      <c r="D3603" t="s">
        <v>33</v>
      </c>
      <c r="E3603" t="s">
        <v>34</v>
      </c>
      <c r="F3603" t="str">
        <f>"0003899"</f>
        <v>0003899</v>
      </c>
      <c r="G3603">
        <v>1</v>
      </c>
      <c r="H3603" t="str">
        <f>"00000000"</f>
        <v>00000000</v>
      </c>
      <c r="I3603" t="s">
        <v>35</v>
      </c>
      <c r="J3603"/>
      <c r="K3603">
        <v>0.0</v>
      </c>
      <c r="L3603">
        <v>1.46</v>
      </c>
      <c r="M3603"/>
      <c r="N3603"/>
      <c r="O3603">
        <v>0.0</v>
      </c>
      <c r="P3603">
        <v>0.0</v>
      </c>
      <c r="Q3603">
        <v>1.46</v>
      </c>
      <c r="R3603"/>
      <c r="S3603"/>
      <c r="T3603"/>
      <c r="U3603"/>
      <c r="V3603"/>
      <c r="W3603">
        <v>18</v>
      </c>
    </row>
    <row r="3604" spans="1:23">
      <c r="A3604"/>
      <c r="B3604" t="s">
        <v>85</v>
      </c>
      <c r="C3604" t="s">
        <v>85</v>
      </c>
      <c r="D3604" t="s">
        <v>33</v>
      </c>
      <c r="E3604" t="s">
        <v>34</v>
      </c>
      <c r="F3604" t="str">
        <f>"0003900"</f>
        <v>0003900</v>
      </c>
      <c r="G3604">
        <v>1</v>
      </c>
      <c r="H3604" t="str">
        <f>"00000000"</f>
        <v>00000000</v>
      </c>
      <c r="I3604" t="s">
        <v>35</v>
      </c>
      <c r="J3604"/>
      <c r="K3604">
        <v>0.0</v>
      </c>
      <c r="L3604">
        <v>3.24</v>
      </c>
      <c r="M3604"/>
      <c r="N3604"/>
      <c r="O3604">
        <v>0.0</v>
      </c>
      <c r="P3604">
        <v>0.0</v>
      </c>
      <c r="Q3604">
        <v>3.24</v>
      </c>
      <c r="R3604"/>
      <c r="S3604"/>
      <c r="T3604"/>
      <c r="U3604"/>
      <c r="V3604"/>
      <c r="W3604">
        <v>18</v>
      </c>
    </row>
    <row r="3605" spans="1:23">
      <c r="A3605"/>
      <c r="B3605" t="s">
        <v>85</v>
      </c>
      <c r="C3605" t="s">
        <v>85</v>
      </c>
      <c r="D3605" t="s">
        <v>33</v>
      </c>
      <c r="E3605" t="s">
        <v>34</v>
      </c>
      <c r="F3605" t="str">
        <f>"0003901"</f>
        <v>0003901</v>
      </c>
      <c r="G3605">
        <v>1</v>
      </c>
      <c r="H3605" t="str">
        <f>"00000000"</f>
        <v>00000000</v>
      </c>
      <c r="I3605" t="s">
        <v>35</v>
      </c>
      <c r="J3605"/>
      <c r="K3605">
        <v>0.0</v>
      </c>
      <c r="L3605">
        <v>8.24</v>
      </c>
      <c r="M3605"/>
      <c r="N3605"/>
      <c r="O3605">
        <v>0.0</v>
      </c>
      <c r="P3605">
        <v>0.0</v>
      </c>
      <c r="Q3605">
        <v>8.24</v>
      </c>
      <c r="R3605"/>
      <c r="S3605"/>
      <c r="T3605"/>
      <c r="U3605"/>
      <c r="V3605"/>
      <c r="W3605">
        <v>18</v>
      </c>
    </row>
    <row r="3606" spans="1:23">
      <c r="A3606"/>
      <c r="B3606" t="s">
        <v>85</v>
      </c>
      <c r="C3606" t="s">
        <v>85</v>
      </c>
      <c r="D3606" t="s">
        <v>33</v>
      </c>
      <c r="E3606" t="s">
        <v>34</v>
      </c>
      <c r="F3606" t="str">
        <f>"0003902"</f>
        <v>0003902</v>
      </c>
      <c r="G3606">
        <v>1</v>
      </c>
      <c r="H3606" t="str">
        <f>"00000000"</f>
        <v>00000000</v>
      </c>
      <c r="I3606" t="s">
        <v>35</v>
      </c>
      <c r="J3606"/>
      <c r="K3606">
        <v>8.22</v>
      </c>
      <c r="L3606">
        <v>0.0</v>
      </c>
      <c r="M3606"/>
      <c r="N3606"/>
      <c r="O3606">
        <v>1.48</v>
      </c>
      <c r="P3606">
        <v>0.0</v>
      </c>
      <c r="Q3606">
        <v>9.7</v>
      </c>
      <c r="R3606"/>
      <c r="S3606"/>
      <c r="T3606"/>
      <c r="U3606"/>
      <c r="V3606"/>
      <c r="W3606">
        <v>18</v>
      </c>
    </row>
    <row r="3607" spans="1:23">
      <c r="A3607"/>
      <c r="B3607" t="s">
        <v>85</v>
      </c>
      <c r="C3607" t="s">
        <v>85</v>
      </c>
      <c r="D3607" t="s">
        <v>33</v>
      </c>
      <c r="E3607" t="s">
        <v>34</v>
      </c>
      <c r="F3607" t="str">
        <f>"0003903"</f>
        <v>0003903</v>
      </c>
      <c r="G3607">
        <v>1</v>
      </c>
      <c r="H3607" t="str">
        <f>"00000000"</f>
        <v>00000000</v>
      </c>
      <c r="I3607" t="s">
        <v>35</v>
      </c>
      <c r="J3607"/>
      <c r="K3607">
        <v>30.44</v>
      </c>
      <c r="L3607">
        <v>0.38</v>
      </c>
      <c r="M3607"/>
      <c r="N3607"/>
      <c r="O3607">
        <v>5.48</v>
      </c>
      <c r="P3607">
        <v>0.2</v>
      </c>
      <c r="Q3607">
        <v>36.5</v>
      </c>
      <c r="R3607"/>
      <c r="S3607"/>
      <c r="T3607"/>
      <c r="U3607"/>
      <c r="V3607"/>
      <c r="W3607">
        <v>18</v>
      </c>
    </row>
    <row r="3608" spans="1:23">
      <c r="A3608"/>
      <c r="B3608" t="s">
        <v>85</v>
      </c>
      <c r="C3608" t="s">
        <v>85</v>
      </c>
      <c r="D3608" t="s">
        <v>33</v>
      </c>
      <c r="E3608" t="s">
        <v>34</v>
      </c>
      <c r="F3608" t="str">
        <f>"0003904"</f>
        <v>0003904</v>
      </c>
      <c r="G3608">
        <v>1</v>
      </c>
      <c r="H3608" t="str">
        <f>"00000000"</f>
        <v>00000000</v>
      </c>
      <c r="I3608" t="s">
        <v>35</v>
      </c>
      <c r="J3608"/>
      <c r="K3608">
        <v>3.81</v>
      </c>
      <c r="L3608">
        <v>0.0</v>
      </c>
      <c r="M3608"/>
      <c r="N3608"/>
      <c r="O3608">
        <v>0.69</v>
      </c>
      <c r="P3608">
        <v>0.0</v>
      </c>
      <c r="Q3608">
        <v>4.5</v>
      </c>
      <c r="R3608"/>
      <c r="S3608"/>
      <c r="T3608"/>
      <c r="U3608"/>
      <c r="V3608"/>
      <c r="W3608">
        <v>18</v>
      </c>
    </row>
    <row r="3609" spans="1:23">
      <c r="A3609"/>
      <c r="B3609" t="s">
        <v>85</v>
      </c>
      <c r="C3609" t="s">
        <v>85</v>
      </c>
      <c r="D3609" t="s">
        <v>33</v>
      </c>
      <c r="E3609" t="s">
        <v>34</v>
      </c>
      <c r="F3609" t="str">
        <f>"0003905"</f>
        <v>0003905</v>
      </c>
      <c r="G3609">
        <v>1</v>
      </c>
      <c r="H3609" t="str">
        <f>"00000000"</f>
        <v>00000000</v>
      </c>
      <c r="I3609" t="s">
        <v>35</v>
      </c>
      <c r="J3609"/>
      <c r="K3609">
        <v>20.78</v>
      </c>
      <c r="L3609">
        <v>0.0</v>
      </c>
      <c r="M3609"/>
      <c r="N3609"/>
      <c r="O3609">
        <v>3.74</v>
      </c>
      <c r="P3609">
        <v>0.2</v>
      </c>
      <c r="Q3609">
        <v>24.72</v>
      </c>
      <c r="R3609"/>
      <c r="S3609"/>
      <c r="T3609"/>
      <c r="U3609"/>
      <c r="V3609"/>
      <c r="W3609">
        <v>18</v>
      </c>
    </row>
    <row r="3610" spans="1:23">
      <c r="A3610"/>
      <c r="B3610" t="s">
        <v>85</v>
      </c>
      <c r="C3610" t="s">
        <v>85</v>
      </c>
      <c r="D3610" t="s">
        <v>33</v>
      </c>
      <c r="E3610" t="s">
        <v>34</v>
      </c>
      <c r="F3610" t="str">
        <f>"0003906"</f>
        <v>0003906</v>
      </c>
      <c r="G3610">
        <v>1</v>
      </c>
      <c r="H3610" t="str">
        <f>"00000000"</f>
        <v>00000000</v>
      </c>
      <c r="I3610" t="s">
        <v>35</v>
      </c>
      <c r="J3610"/>
      <c r="K3610">
        <v>2.37</v>
      </c>
      <c r="L3610">
        <v>0.0</v>
      </c>
      <c r="M3610"/>
      <c r="N3610"/>
      <c r="O3610">
        <v>0.43</v>
      </c>
      <c r="P3610">
        <v>0.0</v>
      </c>
      <c r="Q3610">
        <v>2.8</v>
      </c>
      <c r="R3610"/>
      <c r="S3610"/>
      <c r="T3610"/>
      <c r="U3610"/>
      <c r="V3610"/>
      <c r="W3610">
        <v>18</v>
      </c>
    </row>
    <row r="3611" spans="1:23">
      <c r="A3611"/>
      <c r="B3611" t="s">
        <v>85</v>
      </c>
      <c r="C3611" t="s">
        <v>85</v>
      </c>
      <c r="D3611" t="s">
        <v>33</v>
      </c>
      <c r="E3611" t="s">
        <v>34</v>
      </c>
      <c r="F3611" t="str">
        <f>"0003907"</f>
        <v>0003907</v>
      </c>
      <c r="G3611">
        <v>1</v>
      </c>
      <c r="H3611" t="str">
        <f>"00000000"</f>
        <v>00000000</v>
      </c>
      <c r="I3611" t="s">
        <v>35</v>
      </c>
      <c r="J3611"/>
      <c r="K3611">
        <v>24.36</v>
      </c>
      <c r="L3611">
        <v>2.57</v>
      </c>
      <c r="M3611"/>
      <c r="N3611"/>
      <c r="O3611">
        <v>4.38</v>
      </c>
      <c r="P3611">
        <v>0.2</v>
      </c>
      <c r="Q3611">
        <v>31.52</v>
      </c>
      <c r="R3611"/>
      <c r="S3611"/>
      <c r="T3611"/>
      <c r="U3611"/>
      <c r="V3611"/>
      <c r="W3611">
        <v>18</v>
      </c>
    </row>
    <row r="3612" spans="1:23">
      <c r="A3612"/>
      <c r="B3612" t="s">
        <v>85</v>
      </c>
      <c r="C3612" t="s">
        <v>85</v>
      </c>
      <c r="D3612" t="s">
        <v>33</v>
      </c>
      <c r="E3612" t="s">
        <v>34</v>
      </c>
      <c r="F3612" t="str">
        <f>"0003908"</f>
        <v>0003908</v>
      </c>
      <c r="G3612">
        <v>1</v>
      </c>
      <c r="H3612" t="str">
        <f>"00000000"</f>
        <v>00000000</v>
      </c>
      <c r="I3612" t="s">
        <v>35</v>
      </c>
      <c r="J3612"/>
      <c r="K3612">
        <v>1.95</v>
      </c>
      <c r="L3612">
        <v>0.0</v>
      </c>
      <c r="M3612"/>
      <c r="N3612"/>
      <c r="O3612">
        <v>0.35</v>
      </c>
      <c r="P3612">
        <v>0.0</v>
      </c>
      <c r="Q3612">
        <v>2.3</v>
      </c>
      <c r="R3612"/>
      <c r="S3612"/>
      <c r="T3612"/>
      <c r="U3612"/>
      <c r="V3612"/>
      <c r="W3612">
        <v>18</v>
      </c>
    </row>
    <row r="3613" spans="1:23">
      <c r="A3613"/>
      <c r="B3613" t="s">
        <v>85</v>
      </c>
      <c r="C3613" t="s">
        <v>85</v>
      </c>
      <c r="D3613" t="s">
        <v>33</v>
      </c>
      <c r="E3613" t="s">
        <v>34</v>
      </c>
      <c r="F3613" t="str">
        <f>"0003909"</f>
        <v>0003909</v>
      </c>
      <c r="G3613">
        <v>1</v>
      </c>
      <c r="H3613" t="str">
        <f>"00000000"</f>
        <v>00000000</v>
      </c>
      <c r="I3613" t="s">
        <v>35</v>
      </c>
      <c r="J3613"/>
      <c r="K3613">
        <v>12.71</v>
      </c>
      <c r="L3613">
        <v>0.0</v>
      </c>
      <c r="M3613"/>
      <c r="N3613"/>
      <c r="O3613">
        <v>2.29</v>
      </c>
      <c r="P3613">
        <v>0.0</v>
      </c>
      <c r="Q3613">
        <v>15.0</v>
      </c>
      <c r="R3613"/>
      <c r="S3613"/>
      <c r="T3613"/>
      <c r="U3613"/>
      <c r="V3613"/>
      <c r="W3613">
        <v>18</v>
      </c>
    </row>
    <row r="3614" spans="1:23">
      <c r="A3614"/>
      <c r="B3614" t="s">
        <v>85</v>
      </c>
      <c r="C3614" t="s">
        <v>85</v>
      </c>
      <c r="D3614" t="s">
        <v>33</v>
      </c>
      <c r="E3614" t="s">
        <v>34</v>
      </c>
      <c r="F3614" t="str">
        <f>"0003910"</f>
        <v>0003910</v>
      </c>
      <c r="G3614">
        <v>1</v>
      </c>
      <c r="H3614" t="str">
        <f>"00000000"</f>
        <v>00000000</v>
      </c>
      <c r="I3614" t="s">
        <v>35</v>
      </c>
      <c r="J3614"/>
      <c r="K3614">
        <v>6.9</v>
      </c>
      <c r="L3614">
        <v>4.26</v>
      </c>
      <c r="M3614"/>
      <c r="N3614"/>
      <c r="O3614">
        <v>1.24</v>
      </c>
      <c r="P3614">
        <v>0.0</v>
      </c>
      <c r="Q3614">
        <v>12.39</v>
      </c>
      <c r="R3614"/>
      <c r="S3614"/>
      <c r="T3614"/>
      <c r="U3614"/>
      <c r="V3614"/>
      <c r="W3614">
        <v>18</v>
      </c>
    </row>
    <row r="3615" spans="1:23">
      <c r="A3615"/>
      <c r="B3615" t="s">
        <v>85</v>
      </c>
      <c r="C3615" t="s">
        <v>85</v>
      </c>
      <c r="D3615" t="s">
        <v>33</v>
      </c>
      <c r="E3615" t="s">
        <v>34</v>
      </c>
      <c r="F3615" t="str">
        <f>"0003911"</f>
        <v>0003911</v>
      </c>
      <c r="G3615">
        <v>1</v>
      </c>
      <c r="H3615" t="str">
        <f>"00000000"</f>
        <v>00000000</v>
      </c>
      <c r="I3615" t="s">
        <v>35</v>
      </c>
      <c r="J3615"/>
      <c r="K3615">
        <v>9.39</v>
      </c>
      <c r="L3615">
        <v>0.0</v>
      </c>
      <c r="M3615"/>
      <c r="N3615"/>
      <c r="O3615">
        <v>1.69</v>
      </c>
      <c r="P3615">
        <v>0.2</v>
      </c>
      <c r="Q3615">
        <v>11.28</v>
      </c>
      <c r="R3615"/>
      <c r="S3615"/>
      <c r="T3615"/>
      <c r="U3615"/>
      <c r="V3615"/>
      <c r="W3615">
        <v>18</v>
      </c>
    </row>
    <row r="3616" spans="1:23">
      <c r="A3616"/>
      <c r="B3616" t="s">
        <v>85</v>
      </c>
      <c r="C3616" t="s">
        <v>85</v>
      </c>
      <c r="D3616" t="s">
        <v>33</v>
      </c>
      <c r="E3616" t="s">
        <v>34</v>
      </c>
      <c r="F3616" t="str">
        <f>"0003912"</f>
        <v>0003912</v>
      </c>
      <c r="G3616">
        <v>1</v>
      </c>
      <c r="H3616" t="str">
        <f>"00000000"</f>
        <v>00000000</v>
      </c>
      <c r="I3616" t="s">
        <v>35</v>
      </c>
      <c r="J3616"/>
      <c r="K3616">
        <v>16.17</v>
      </c>
      <c r="L3616">
        <v>1.84</v>
      </c>
      <c r="M3616"/>
      <c r="N3616"/>
      <c r="O3616">
        <v>2.91</v>
      </c>
      <c r="P3616">
        <v>0.2</v>
      </c>
      <c r="Q3616">
        <v>21.12</v>
      </c>
      <c r="R3616"/>
      <c r="S3616"/>
      <c r="T3616"/>
      <c r="U3616"/>
      <c r="V3616"/>
      <c r="W3616">
        <v>18</v>
      </c>
    </row>
    <row r="3617" spans="1:23">
      <c r="A3617"/>
      <c r="B3617" t="s">
        <v>85</v>
      </c>
      <c r="C3617" t="s">
        <v>85</v>
      </c>
      <c r="D3617" t="s">
        <v>33</v>
      </c>
      <c r="E3617" t="s">
        <v>34</v>
      </c>
      <c r="F3617" t="str">
        <f>"0003913"</f>
        <v>0003913</v>
      </c>
      <c r="G3617">
        <v>1</v>
      </c>
      <c r="H3617" t="str">
        <f>"00000000"</f>
        <v>00000000</v>
      </c>
      <c r="I3617" t="s">
        <v>35</v>
      </c>
      <c r="J3617"/>
      <c r="K3617">
        <v>4.87</v>
      </c>
      <c r="L3617">
        <v>0.0</v>
      </c>
      <c r="M3617"/>
      <c r="N3617"/>
      <c r="O3617">
        <v>0.88</v>
      </c>
      <c r="P3617">
        <v>0.0</v>
      </c>
      <c r="Q3617">
        <v>5.75</v>
      </c>
      <c r="R3617"/>
      <c r="S3617"/>
      <c r="T3617"/>
      <c r="U3617"/>
      <c r="V3617"/>
      <c r="W3617">
        <v>18</v>
      </c>
    </row>
    <row r="3618" spans="1:23">
      <c r="A3618"/>
      <c r="B3618" t="s">
        <v>85</v>
      </c>
      <c r="C3618" t="s">
        <v>85</v>
      </c>
      <c r="D3618" t="s">
        <v>33</v>
      </c>
      <c r="E3618" t="s">
        <v>34</v>
      </c>
      <c r="F3618" t="str">
        <f>"0003914"</f>
        <v>0003914</v>
      </c>
      <c r="G3618">
        <v>1</v>
      </c>
      <c r="H3618" t="str">
        <f>"00000000"</f>
        <v>00000000</v>
      </c>
      <c r="I3618" t="s">
        <v>35</v>
      </c>
      <c r="J3618"/>
      <c r="K3618">
        <v>46.12</v>
      </c>
      <c r="L3618">
        <v>10.02</v>
      </c>
      <c r="M3618"/>
      <c r="N3618"/>
      <c r="O3618">
        <v>8.3</v>
      </c>
      <c r="P3618">
        <v>0.4</v>
      </c>
      <c r="Q3618">
        <v>64.85</v>
      </c>
      <c r="R3618"/>
      <c r="S3618"/>
      <c r="T3618"/>
      <c r="U3618"/>
      <c r="V3618"/>
      <c r="W3618">
        <v>18</v>
      </c>
    </row>
    <row r="3619" spans="1:23">
      <c r="A3619"/>
      <c r="B3619" t="s">
        <v>85</v>
      </c>
      <c r="C3619" t="s">
        <v>85</v>
      </c>
      <c r="D3619" t="s">
        <v>33</v>
      </c>
      <c r="E3619" t="s">
        <v>34</v>
      </c>
      <c r="F3619" t="str">
        <f>"0003915"</f>
        <v>0003915</v>
      </c>
      <c r="G3619">
        <v>1</v>
      </c>
      <c r="H3619" t="str">
        <f>"00000000"</f>
        <v>00000000</v>
      </c>
      <c r="I3619" t="s">
        <v>35</v>
      </c>
      <c r="J3619"/>
      <c r="K3619">
        <v>21.27</v>
      </c>
      <c r="L3619">
        <v>2.97</v>
      </c>
      <c r="M3619"/>
      <c r="N3619"/>
      <c r="O3619">
        <v>3.83</v>
      </c>
      <c r="P3619">
        <v>0.2</v>
      </c>
      <c r="Q3619">
        <v>28.27</v>
      </c>
      <c r="R3619"/>
      <c r="S3619"/>
      <c r="T3619"/>
      <c r="U3619"/>
      <c r="V3619"/>
      <c r="W3619">
        <v>18</v>
      </c>
    </row>
    <row r="3620" spans="1:23">
      <c r="A3620"/>
      <c r="B3620" t="s">
        <v>85</v>
      </c>
      <c r="C3620" t="s">
        <v>85</v>
      </c>
      <c r="D3620" t="s">
        <v>33</v>
      </c>
      <c r="E3620" t="s">
        <v>34</v>
      </c>
      <c r="F3620" t="str">
        <f>"0003916"</f>
        <v>0003916</v>
      </c>
      <c r="G3620">
        <v>1</v>
      </c>
      <c r="H3620" t="str">
        <f>"00000000"</f>
        <v>00000000</v>
      </c>
      <c r="I3620" t="s">
        <v>35</v>
      </c>
      <c r="J3620"/>
      <c r="K3620">
        <v>1.63</v>
      </c>
      <c r="L3620">
        <v>3.76</v>
      </c>
      <c r="M3620"/>
      <c r="N3620"/>
      <c r="O3620">
        <v>0.29</v>
      </c>
      <c r="P3620">
        <v>0.2</v>
      </c>
      <c r="Q3620">
        <v>5.88</v>
      </c>
      <c r="R3620"/>
      <c r="S3620"/>
      <c r="T3620"/>
      <c r="U3620"/>
      <c r="V3620"/>
      <c r="W3620">
        <v>18</v>
      </c>
    </row>
    <row r="3621" spans="1:23">
      <c r="A3621"/>
      <c r="B3621" t="s">
        <v>85</v>
      </c>
      <c r="C3621" t="s">
        <v>85</v>
      </c>
      <c r="D3621" t="s">
        <v>33</v>
      </c>
      <c r="E3621" t="s">
        <v>34</v>
      </c>
      <c r="F3621" t="str">
        <f>"0003917"</f>
        <v>0003917</v>
      </c>
      <c r="G3621">
        <v>1</v>
      </c>
      <c r="H3621" t="str">
        <f>"00000000"</f>
        <v>00000000</v>
      </c>
      <c r="I3621" t="s">
        <v>35</v>
      </c>
      <c r="J3621"/>
      <c r="K3621">
        <v>17.05</v>
      </c>
      <c r="L3621">
        <v>0.0</v>
      </c>
      <c r="M3621"/>
      <c r="N3621"/>
      <c r="O3621">
        <v>3.07</v>
      </c>
      <c r="P3621">
        <v>0.2</v>
      </c>
      <c r="Q3621">
        <v>20.31</v>
      </c>
      <c r="R3621"/>
      <c r="S3621"/>
      <c r="T3621"/>
      <c r="U3621"/>
      <c r="V3621"/>
      <c r="W3621">
        <v>18</v>
      </c>
    </row>
    <row r="3622" spans="1:23">
      <c r="A3622"/>
      <c r="B3622" t="s">
        <v>85</v>
      </c>
      <c r="C3622" t="s">
        <v>85</v>
      </c>
      <c r="D3622" t="s">
        <v>33</v>
      </c>
      <c r="E3622" t="s">
        <v>34</v>
      </c>
      <c r="F3622" t="str">
        <f>"0003918"</f>
        <v>0003918</v>
      </c>
      <c r="G3622">
        <v>1</v>
      </c>
      <c r="H3622" t="str">
        <f>"00000000"</f>
        <v>00000000</v>
      </c>
      <c r="I3622" t="s">
        <v>35</v>
      </c>
      <c r="J3622"/>
      <c r="K3622">
        <v>15.36</v>
      </c>
      <c r="L3622">
        <v>0.0</v>
      </c>
      <c r="M3622"/>
      <c r="N3622"/>
      <c r="O3622">
        <v>2.76</v>
      </c>
      <c r="P3622">
        <v>0.2</v>
      </c>
      <c r="Q3622">
        <v>18.32</v>
      </c>
      <c r="R3622"/>
      <c r="S3622"/>
      <c r="T3622"/>
      <c r="U3622"/>
      <c r="V3622"/>
      <c r="W3622">
        <v>18</v>
      </c>
    </row>
    <row r="3623" spans="1:23">
      <c r="A3623"/>
      <c r="B3623" t="s">
        <v>85</v>
      </c>
      <c r="C3623" t="s">
        <v>85</v>
      </c>
      <c r="D3623" t="s">
        <v>33</v>
      </c>
      <c r="E3623" t="s">
        <v>34</v>
      </c>
      <c r="F3623" t="str">
        <f>"0003919"</f>
        <v>0003919</v>
      </c>
      <c r="G3623">
        <v>1</v>
      </c>
      <c r="H3623" t="str">
        <f>"00000000"</f>
        <v>00000000</v>
      </c>
      <c r="I3623" t="s">
        <v>35</v>
      </c>
      <c r="J3623"/>
      <c r="K3623">
        <v>56.73</v>
      </c>
      <c r="L3623">
        <v>3.12</v>
      </c>
      <c r="M3623"/>
      <c r="N3623"/>
      <c r="O3623">
        <v>10.21</v>
      </c>
      <c r="P3623">
        <v>0.2</v>
      </c>
      <c r="Q3623">
        <v>70.26</v>
      </c>
      <c r="R3623"/>
      <c r="S3623"/>
      <c r="T3623"/>
      <c r="U3623"/>
      <c r="V3623"/>
      <c r="W3623">
        <v>18</v>
      </c>
    </row>
    <row r="3624" spans="1:23">
      <c r="A3624"/>
      <c r="B3624" t="s">
        <v>85</v>
      </c>
      <c r="C3624" t="s">
        <v>85</v>
      </c>
      <c r="D3624" t="s">
        <v>33</v>
      </c>
      <c r="E3624" t="s">
        <v>34</v>
      </c>
      <c r="F3624" t="str">
        <f>"0003920"</f>
        <v>0003920</v>
      </c>
      <c r="G3624">
        <v>1</v>
      </c>
      <c r="H3624" t="str">
        <f>"00000000"</f>
        <v>00000000</v>
      </c>
      <c r="I3624" t="s">
        <v>35</v>
      </c>
      <c r="J3624"/>
      <c r="K3624">
        <v>1.86</v>
      </c>
      <c r="L3624">
        <v>0.0</v>
      </c>
      <c r="M3624"/>
      <c r="N3624"/>
      <c r="O3624">
        <v>0.34</v>
      </c>
      <c r="P3624">
        <v>0.0</v>
      </c>
      <c r="Q3624">
        <v>2.2</v>
      </c>
      <c r="R3624"/>
      <c r="S3624"/>
      <c r="T3624"/>
      <c r="U3624"/>
      <c r="V3624"/>
      <c r="W3624">
        <v>18</v>
      </c>
    </row>
    <row r="3625" spans="1:23">
      <c r="A3625"/>
      <c r="B3625" t="s">
        <v>85</v>
      </c>
      <c r="C3625" t="s">
        <v>85</v>
      </c>
      <c r="D3625" t="s">
        <v>33</v>
      </c>
      <c r="E3625" t="s">
        <v>34</v>
      </c>
      <c r="F3625" t="str">
        <f>"0003921"</f>
        <v>0003921</v>
      </c>
      <c r="G3625">
        <v>1</v>
      </c>
      <c r="H3625" t="str">
        <f>"00000000"</f>
        <v>00000000</v>
      </c>
      <c r="I3625" t="s">
        <v>35</v>
      </c>
      <c r="J3625"/>
      <c r="K3625">
        <v>2.12</v>
      </c>
      <c r="L3625">
        <v>0.0</v>
      </c>
      <c r="M3625"/>
      <c r="N3625"/>
      <c r="O3625">
        <v>0.38</v>
      </c>
      <c r="P3625">
        <v>0.0</v>
      </c>
      <c r="Q3625">
        <v>2.5</v>
      </c>
      <c r="R3625"/>
      <c r="S3625"/>
      <c r="T3625"/>
      <c r="U3625"/>
      <c r="V3625"/>
      <c r="W3625">
        <v>18</v>
      </c>
    </row>
    <row r="3626" spans="1:23">
      <c r="A3626"/>
      <c r="B3626" t="s">
        <v>85</v>
      </c>
      <c r="C3626" t="s">
        <v>85</v>
      </c>
      <c r="D3626" t="s">
        <v>33</v>
      </c>
      <c r="E3626" t="s">
        <v>34</v>
      </c>
      <c r="F3626" t="str">
        <f>"0003922"</f>
        <v>0003922</v>
      </c>
      <c r="G3626">
        <v>1</v>
      </c>
      <c r="H3626" t="str">
        <f>"00000000"</f>
        <v>00000000</v>
      </c>
      <c r="I3626" t="s">
        <v>35</v>
      </c>
      <c r="J3626"/>
      <c r="K3626">
        <v>17.98</v>
      </c>
      <c r="L3626">
        <v>0.0</v>
      </c>
      <c r="M3626"/>
      <c r="N3626"/>
      <c r="O3626">
        <v>3.24</v>
      </c>
      <c r="P3626">
        <v>0.2</v>
      </c>
      <c r="Q3626">
        <v>21.42</v>
      </c>
      <c r="R3626"/>
      <c r="S3626"/>
      <c r="T3626"/>
      <c r="U3626"/>
      <c r="V3626"/>
      <c r="W3626">
        <v>18</v>
      </c>
    </row>
    <row r="3627" spans="1:23">
      <c r="A3627"/>
      <c r="B3627" t="s">
        <v>85</v>
      </c>
      <c r="C3627" t="s">
        <v>85</v>
      </c>
      <c r="D3627" t="s">
        <v>33</v>
      </c>
      <c r="E3627" t="s">
        <v>34</v>
      </c>
      <c r="F3627" t="str">
        <f>"0003923"</f>
        <v>0003923</v>
      </c>
      <c r="G3627">
        <v>1</v>
      </c>
      <c r="H3627" t="str">
        <f>"00000000"</f>
        <v>00000000</v>
      </c>
      <c r="I3627" t="s">
        <v>35</v>
      </c>
      <c r="J3627"/>
      <c r="K3627">
        <v>91.22</v>
      </c>
      <c r="L3627">
        <v>0.0</v>
      </c>
      <c r="M3627"/>
      <c r="N3627"/>
      <c r="O3627">
        <v>16.42</v>
      </c>
      <c r="P3627">
        <v>0.4</v>
      </c>
      <c r="Q3627">
        <v>108.04</v>
      </c>
      <c r="R3627"/>
      <c r="S3627"/>
      <c r="T3627"/>
      <c r="U3627"/>
      <c r="V3627"/>
      <c r="W3627">
        <v>18</v>
      </c>
    </row>
    <row r="3628" spans="1:23">
      <c r="A3628"/>
      <c r="B3628" t="s">
        <v>85</v>
      </c>
      <c r="C3628" t="s">
        <v>85</v>
      </c>
      <c r="D3628" t="s">
        <v>33</v>
      </c>
      <c r="E3628" t="s">
        <v>34</v>
      </c>
      <c r="F3628" t="str">
        <f>"0003924"</f>
        <v>0003924</v>
      </c>
      <c r="G3628">
        <v>1</v>
      </c>
      <c r="H3628" t="str">
        <f>"00000000"</f>
        <v>00000000</v>
      </c>
      <c r="I3628" t="s">
        <v>35</v>
      </c>
      <c r="J3628"/>
      <c r="K3628">
        <v>7.75</v>
      </c>
      <c r="L3628">
        <v>0.0</v>
      </c>
      <c r="M3628"/>
      <c r="N3628"/>
      <c r="O3628">
        <v>1.4</v>
      </c>
      <c r="P3628">
        <v>0.0</v>
      </c>
      <c r="Q3628">
        <v>9.15</v>
      </c>
      <c r="R3628"/>
      <c r="S3628"/>
      <c r="T3628"/>
      <c r="U3628"/>
      <c r="V3628"/>
      <c r="W3628">
        <v>18</v>
      </c>
    </row>
    <row r="3629" spans="1:23">
      <c r="A3629"/>
      <c r="B3629" t="s">
        <v>85</v>
      </c>
      <c r="C3629" t="s">
        <v>85</v>
      </c>
      <c r="D3629" t="s">
        <v>33</v>
      </c>
      <c r="E3629" t="s">
        <v>34</v>
      </c>
      <c r="F3629" t="str">
        <f>"0003925"</f>
        <v>0003925</v>
      </c>
      <c r="G3629">
        <v>1</v>
      </c>
      <c r="H3629" t="str">
        <f>"00000000"</f>
        <v>00000000</v>
      </c>
      <c r="I3629" t="s">
        <v>35</v>
      </c>
      <c r="J3629"/>
      <c r="K3629">
        <v>115.12</v>
      </c>
      <c r="L3629">
        <v>3.0</v>
      </c>
      <c r="M3629"/>
      <c r="N3629"/>
      <c r="O3629">
        <v>20.72</v>
      </c>
      <c r="P3629">
        <v>0.8</v>
      </c>
      <c r="Q3629">
        <v>139.64</v>
      </c>
      <c r="R3629"/>
      <c r="S3629"/>
      <c r="T3629"/>
      <c r="U3629"/>
      <c r="V3629"/>
      <c r="W3629">
        <v>18</v>
      </c>
    </row>
    <row r="3630" spans="1:23">
      <c r="A3630"/>
      <c r="B3630" t="s">
        <v>85</v>
      </c>
      <c r="C3630" t="s">
        <v>85</v>
      </c>
      <c r="D3630" t="s">
        <v>33</v>
      </c>
      <c r="E3630" t="s">
        <v>34</v>
      </c>
      <c r="F3630" t="str">
        <f>"0003926"</f>
        <v>0003926</v>
      </c>
      <c r="G3630">
        <v>1</v>
      </c>
      <c r="H3630" t="str">
        <f>"00000000"</f>
        <v>00000000</v>
      </c>
      <c r="I3630" t="s">
        <v>35</v>
      </c>
      <c r="J3630"/>
      <c r="K3630">
        <v>56.36</v>
      </c>
      <c r="L3630">
        <v>27.38</v>
      </c>
      <c r="M3630"/>
      <c r="N3630"/>
      <c r="O3630">
        <v>10.14</v>
      </c>
      <c r="P3630">
        <v>0.2</v>
      </c>
      <c r="Q3630">
        <v>94.08</v>
      </c>
      <c r="R3630"/>
      <c r="S3630"/>
      <c r="T3630"/>
      <c r="U3630"/>
      <c r="V3630"/>
      <c r="W3630">
        <v>18</v>
      </c>
    </row>
    <row r="3631" spans="1:23">
      <c r="A3631"/>
      <c r="B3631" t="s">
        <v>85</v>
      </c>
      <c r="C3631" t="s">
        <v>85</v>
      </c>
      <c r="D3631" t="s">
        <v>33</v>
      </c>
      <c r="E3631" t="s">
        <v>34</v>
      </c>
      <c r="F3631" t="str">
        <f>"0003927"</f>
        <v>0003927</v>
      </c>
      <c r="G3631">
        <v>1</v>
      </c>
      <c r="H3631" t="str">
        <f>"00000000"</f>
        <v>00000000</v>
      </c>
      <c r="I3631" t="s">
        <v>35</v>
      </c>
      <c r="J3631"/>
      <c r="K3631">
        <v>7.03</v>
      </c>
      <c r="L3631">
        <v>0.0</v>
      </c>
      <c r="M3631"/>
      <c r="N3631"/>
      <c r="O3631">
        <v>1.27</v>
      </c>
      <c r="P3631">
        <v>0.0</v>
      </c>
      <c r="Q3631">
        <v>8.3</v>
      </c>
      <c r="R3631"/>
      <c r="S3631"/>
      <c r="T3631"/>
      <c r="U3631"/>
      <c r="V3631"/>
      <c r="W3631">
        <v>18</v>
      </c>
    </row>
    <row r="3632" spans="1:23">
      <c r="A3632"/>
      <c r="B3632" t="s">
        <v>85</v>
      </c>
      <c r="C3632" t="s">
        <v>85</v>
      </c>
      <c r="D3632" t="s">
        <v>33</v>
      </c>
      <c r="E3632" t="s">
        <v>34</v>
      </c>
      <c r="F3632" t="str">
        <f>"0003928"</f>
        <v>0003928</v>
      </c>
      <c r="G3632">
        <v>1</v>
      </c>
      <c r="H3632" t="str">
        <f>"00000000"</f>
        <v>00000000</v>
      </c>
      <c r="I3632" t="s">
        <v>35</v>
      </c>
      <c r="J3632"/>
      <c r="K3632">
        <v>8.05</v>
      </c>
      <c r="L3632">
        <v>0.0</v>
      </c>
      <c r="M3632"/>
      <c r="N3632"/>
      <c r="O3632">
        <v>1.45</v>
      </c>
      <c r="P3632">
        <v>0.0</v>
      </c>
      <c r="Q3632">
        <v>9.5</v>
      </c>
      <c r="R3632"/>
      <c r="S3632"/>
      <c r="T3632"/>
      <c r="U3632"/>
      <c r="V3632"/>
      <c r="W3632">
        <v>18</v>
      </c>
    </row>
    <row r="3633" spans="1:23">
      <c r="A3633"/>
      <c r="B3633" t="s">
        <v>85</v>
      </c>
      <c r="C3633" t="s">
        <v>85</v>
      </c>
      <c r="D3633" t="s">
        <v>33</v>
      </c>
      <c r="E3633" t="s">
        <v>34</v>
      </c>
      <c r="F3633" t="str">
        <f>"0003929"</f>
        <v>0003929</v>
      </c>
      <c r="G3633">
        <v>1</v>
      </c>
      <c r="H3633" t="str">
        <f>"00000000"</f>
        <v>00000000</v>
      </c>
      <c r="I3633" t="s">
        <v>35</v>
      </c>
      <c r="J3633"/>
      <c r="K3633">
        <v>0.85</v>
      </c>
      <c r="L3633">
        <v>0.0</v>
      </c>
      <c r="M3633"/>
      <c r="N3633"/>
      <c r="O3633">
        <v>0.15</v>
      </c>
      <c r="P3633">
        <v>0.0</v>
      </c>
      <c r="Q3633">
        <v>1.0</v>
      </c>
      <c r="R3633"/>
      <c r="S3633"/>
      <c r="T3633"/>
      <c r="U3633"/>
      <c r="V3633"/>
      <c r="W3633">
        <v>18</v>
      </c>
    </row>
    <row r="3634" spans="1:23">
      <c r="A3634"/>
      <c r="B3634" t="s">
        <v>85</v>
      </c>
      <c r="C3634" t="s">
        <v>85</v>
      </c>
      <c r="D3634" t="s">
        <v>33</v>
      </c>
      <c r="E3634" t="s">
        <v>34</v>
      </c>
      <c r="F3634" t="str">
        <f>"0003930"</f>
        <v>0003930</v>
      </c>
      <c r="G3634">
        <v>1</v>
      </c>
      <c r="H3634" t="str">
        <f>"00000000"</f>
        <v>00000000</v>
      </c>
      <c r="I3634" t="s">
        <v>35</v>
      </c>
      <c r="J3634"/>
      <c r="K3634">
        <v>1.86</v>
      </c>
      <c r="L3634">
        <v>0.0</v>
      </c>
      <c r="M3634"/>
      <c r="N3634"/>
      <c r="O3634">
        <v>0.34</v>
      </c>
      <c r="P3634">
        <v>0.0</v>
      </c>
      <c r="Q3634">
        <v>2.2</v>
      </c>
      <c r="R3634"/>
      <c r="S3634"/>
      <c r="T3634"/>
      <c r="U3634"/>
      <c r="V3634"/>
      <c r="W3634">
        <v>18</v>
      </c>
    </row>
    <row r="3635" spans="1:23">
      <c r="A3635"/>
      <c r="B3635" t="s">
        <v>85</v>
      </c>
      <c r="C3635" t="s">
        <v>85</v>
      </c>
      <c r="D3635" t="s">
        <v>33</v>
      </c>
      <c r="E3635" t="s">
        <v>34</v>
      </c>
      <c r="F3635" t="str">
        <f>"0003931"</f>
        <v>0003931</v>
      </c>
      <c r="G3635">
        <v>1</v>
      </c>
      <c r="H3635" t="str">
        <f>"00000000"</f>
        <v>00000000</v>
      </c>
      <c r="I3635" t="s">
        <v>35</v>
      </c>
      <c r="J3635"/>
      <c r="K3635">
        <v>12.36</v>
      </c>
      <c r="L3635">
        <v>0.0</v>
      </c>
      <c r="M3635"/>
      <c r="N3635"/>
      <c r="O3635">
        <v>2.23</v>
      </c>
      <c r="P3635">
        <v>0.0</v>
      </c>
      <c r="Q3635">
        <v>14.59</v>
      </c>
      <c r="R3635"/>
      <c r="S3635"/>
      <c r="T3635"/>
      <c r="U3635"/>
      <c r="V3635"/>
      <c r="W3635">
        <v>18</v>
      </c>
    </row>
    <row r="3636" spans="1:23">
      <c r="A3636"/>
      <c r="B3636" t="s">
        <v>85</v>
      </c>
      <c r="C3636" t="s">
        <v>85</v>
      </c>
      <c r="D3636" t="s">
        <v>33</v>
      </c>
      <c r="E3636" t="s">
        <v>34</v>
      </c>
      <c r="F3636" t="str">
        <f>"0003932"</f>
        <v>0003932</v>
      </c>
      <c r="G3636">
        <v>1</v>
      </c>
      <c r="H3636" t="str">
        <f>"00000000"</f>
        <v>00000000</v>
      </c>
      <c r="I3636" t="s">
        <v>35</v>
      </c>
      <c r="J3636"/>
      <c r="K3636">
        <v>2.37</v>
      </c>
      <c r="L3636">
        <v>0.0</v>
      </c>
      <c r="M3636"/>
      <c r="N3636"/>
      <c r="O3636">
        <v>0.43</v>
      </c>
      <c r="P3636">
        <v>0.0</v>
      </c>
      <c r="Q3636">
        <v>2.8</v>
      </c>
      <c r="R3636"/>
      <c r="S3636"/>
      <c r="T3636"/>
      <c r="U3636"/>
      <c r="V3636"/>
      <c r="W3636">
        <v>18</v>
      </c>
    </row>
    <row r="3637" spans="1:23">
      <c r="A3637"/>
      <c r="B3637" t="s">
        <v>85</v>
      </c>
      <c r="C3637" t="s">
        <v>85</v>
      </c>
      <c r="D3637" t="s">
        <v>33</v>
      </c>
      <c r="E3637" t="s">
        <v>34</v>
      </c>
      <c r="F3637" t="str">
        <f>"0003933"</f>
        <v>0003933</v>
      </c>
      <c r="G3637">
        <v>1</v>
      </c>
      <c r="H3637" t="str">
        <f>"00000000"</f>
        <v>00000000</v>
      </c>
      <c r="I3637" t="s">
        <v>35</v>
      </c>
      <c r="J3637"/>
      <c r="K3637">
        <v>1.61</v>
      </c>
      <c r="L3637">
        <v>0.0</v>
      </c>
      <c r="M3637"/>
      <c r="N3637"/>
      <c r="O3637">
        <v>0.29</v>
      </c>
      <c r="P3637">
        <v>0.0</v>
      </c>
      <c r="Q3637">
        <v>1.9</v>
      </c>
      <c r="R3637"/>
      <c r="S3637"/>
      <c r="T3637"/>
      <c r="U3637"/>
      <c r="V3637"/>
      <c r="W3637">
        <v>18</v>
      </c>
    </row>
    <row r="3638" spans="1:23">
      <c r="A3638"/>
      <c r="B3638" t="s">
        <v>85</v>
      </c>
      <c r="C3638" t="s">
        <v>85</v>
      </c>
      <c r="D3638" t="s">
        <v>33</v>
      </c>
      <c r="E3638" t="s">
        <v>34</v>
      </c>
      <c r="F3638" t="str">
        <f>"0003934"</f>
        <v>0003934</v>
      </c>
      <c r="G3638">
        <v>1</v>
      </c>
      <c r="H3638" t="str">
        <f>"00000000"</f>
        <v>00000000</v>
      </c>
      <c r="I3638" t="s">
        <v>35</v>
      </c>
      <c r="J3638"/>
      <c r="K3638">
        <v>3.73</v>
      </c>
      <c r="L3638">
        <v>0.0</v>
      </c>
      <c r="M3638"/>
      <c r="N3638"/>
      <c r="O3638">
        <v>0.67</v>
      </c>
      <c r="P3638">
        <v>0.0</v>
      </c>
      <c r="Q3638">
        <v>4.4</v>
      </c>
      <c r="R3638"/>
      <c r="S3638"/>
      <c r="T3638"/>
      <c r="U3638"/>
      <c r="V3638"/>
      <c r="W3638">
        <v>18</v>
      </c>
    </row>
    <row r="3639" spans="1:23">
      <c r="A3639"/>
      <c r="B3639" t="s">
        <v>85</v>
      </c>
      <c r="C3639" t="s">
        <v>85</v>
      </c>
      <c r="D3639" t="s">
        <v>33</v>
      </c>
      <c r="E3639" t="s">
        <v>34</v>
      </c>
      <c r="F3639" t="str">
        <f>"0003935"</f>
        <v>0003935</v>
      </c>
      <c r="G3639">
        <v>1</v>
      </c>
      <c r="H3639" t="str">
        <f>"00000000"</f>
        <v>00000000</v>
      </c>
      <c r="I3639" t="s">
        <v>35</v>
      </c>
      <c r="J3639"/>
      <c r="K3639">
        <v>0.0</v>
      </c>
      <c r="L3639">
        <v>8.84</v>
      </c>
      <c r="M3639"/>
      <c r="N3639"/>
      <c r="O3639">
        <v>0.0</v>
      </c>
      <c r="P3639">
        <v>0.0</v>
      </c>
      <c r="Q3639">
        <v>8.84</v>
      </c>
      <c r="R3639"/>
      <c r="S3639"/>
      <c r="T3639"/>
      <c r="U3639"/>
      <c r="V3639"/>
      <c r="W3639">
        <v>18</v>
      </c>
    </row>
    <row r="3640" spans="1:23">
      <c r="A3640"/>
      <c r="B3640" t="s">
        <v>85</v>
      </c>
      <c r="C3640" t="s">
        <v>85</v>
      </c>
      <c r="D3640" t="s">
        <v>33</v>
      </c>
      <c r="E3640" t="s">
        <v>34</v>
      </c>
      <c r="F3640" t="str">
        <f>"0003936"</f>
        <v>0003936</v>
      </c>
      <c r="G3640">
        <v>1</v>
      </c>
      <c r="H3640" t="str">
        <f>"00000000"</f>
        <v>00000000</v>
      </c>
      <c r="I3640" t="s">
        <v>35</v>
      </c>
      <c r="J3640"/>
      <c r="K3640">
        <v>0.02</v>
      </c>
      <c r="L3640">
        <v>0.0</v>
      </c>
      <c r="M3640"/>
      <c r="N3640"/>
      <c r="O3640">
        <v>0.0</v>
      </c>
      <c r="P3640">
        <v>0.2</v>
      </c>
      <c r="Q3640">
        <v>0.22</v>
      </c>
      <c r="R3640"/>
      <c r="S3640"/>
      <c r="T3640"/>
      <c r="U3640"/>
      <c r="V3640"/>
      <c r="W3640">
        <v>18</v>
      </c>
    </row>
    <row r="3641" spans="1:23">
      <c r="A3641"/>
      <c r="B3641" t="s">
        <v>85</v>
      </c>
      <c r="C3641" t="s">
        <v>85</v>
      </c>
      <c r="D3641" t="s">
        <v>33</v>
      </c>
      <c r="E3641" t="s">
        <v>34</v>
      </c>
      <c r="F3641" t="str">
        <f>"0003937"</f>
        <v>0003937</v>
      </c>
      <c r="G3641">
        <v>1</v>
      </c>
      <c r="H3641" t="str">
        <f>"00000000"</f>
        <v>00000000</v>
      </c>
      <c r="I3641" t="s">
        <v>35</v>
      </c>
      <c r="J3641"/>
      <c r="K3641">
        <v>3.81</v>
      </c>
      <c r="L3641">
        <v>0.0</v>
      </c>
      <c r="M3641"/>
      <c r="N3641"/>
      <c r="O3641">
        <v>0.69</v>
      </c>
      <c r="P3641">
        <v>0.0</v>
      </c>
      <c r="Q3641">
        <v>4.5</v>
      </c>
      <c r="R3641"/>
      <c r="S3641"/>
      <c r="T3641"/>
      <c r="U3641"/>
      <c r="V3641"/>
      <c r="W3641">
        <v>18</v>
      </c>
    </row>
    <row r="3642" spans="1:23">
      <c r="A3642"/>
      <c r="B3642" t="s">
        <v>85</v>
      </c>
      <c r="C3642" t="s">
        <v>85</v>
      </c>
      <c r="D3642" t="s">
        <v>33</v>
      </c>
      <c r="E3642" t="s">
        <v>34</v>
      </c>
      <c r="F3642" t="str">
        <f>"0003938"</f>
        <v>0003938</v>
      </c>
      <c r="G3642">
        <v>1</v>
      </c>
      <c r="H3642" t="str">
        <f>"00000000"</f>
        <v>00000000</v>
      </c>
      <c r="I3642" t="s">
        <v>35</v>
      </c>
      <c r="J3642"/>
      <c r="K3642">
        <v>3.81</v>
      </c>
      <c r="L3642">
        <v>0.0</v>
      </c>
      <c r="M3642"/>
      <c r="N3642"/>
      <c r="O3642">
        <v>0.69</v>
      </c>
      <c r="P3642">
        <v>0.0</v>
      </c>
      <c r="Q3642">
        <v>4.5</v>
      </c>
      <c r="R3642"/>
      <c r="S3642"/>
      <c r="T3642"/>
      <c r="U3642"/>
      <c r="V3642"/>
      <c r="W3642">
        <v>18</v>
      </c>
    </row>
    <row r="3643" spans="1:23">
      <c r="A3643"/>
      <c r="B3643" t="s">
        <v>85</v>
      </c>
      <c r="C3643" t="s">
        <v>85</v>
      </c>
      <c r="D3643" t="s">
        <v>33</v>
      </c>
      <c r="E3643" t="s">
        <v>34</v>
      </c>
      <c r="F3643" t="str">
        <f>"0003939"</f>
        <v>0003939</v>
      </c>
      <c r="G3643">
        <v>1</v>
      </c>
      <c r="H3643" t="str">
        <f>"00000000"</f>
        <v>00000000</v>
      </c>
      <c r="I3643" t="s">
        <v>35</v>
      </c>
      <c r="J3643"/>
      <c r="K3643">
        <v>18.02</v>
      </c>
      <c r="L3643">
        <v>0.0</v>
      </c>
      <c r="M3643"/>
      <c r="N3643"/>
      <c r="O3643">
        <v>3.24</v>
      </c>
      <c r="P3643">
        <v>0.0</v>
      </c>
      <c r="Q3643">
        <v>21.26</v>
      </c>
      <c r="R3643"/>
      <c r="S3643"/>
      <c r="T3643"/>
      <c r="U3643"/>
      <c r="V3643"/>
      <c r="W3643">
        <v>18</v>
      </c>
    </row>
    <row r="3644" spans="1:23">
      <c r="A3644"/>
      <c r="B3644" t="s">
        <v>85</v>
      </c>
      <c r="C3644" t="s">
        <v>85</v>
      </c>
      <c r="D3644" t="s">
        <v>33</v>
      </c>
      <c r="E3644" t="s">
        <v>34</v>
      </c>
      <c r="F3644" t="str">
        <f>"0003940"</f>
        <v>0003940</v>
      </c>
      <c r="G3644">
        <v>1</v>
      </c>
      <c r="H3644" t="str">
        <f>"00000000"</f>
        <v>00000000</v>
      </c>
      <c r="I3644" t="s">
        <v>35</v>
      </c>
      <c r="J3644"/>
      <c r="K3644">
        <v>8.07</v>
      </c>
      <c r="L3644">
        <v>0.0</v>
      </c>
      <c r="M3644"/>
      <c r="N3644"/>
      <c r="O3644">
        <v>1.45</v>
      </c>
      <c r="P3644">
        <v>0.2</v>
      </c>
      <c r="Q3644">
        <v>9.72</v>
      </c>
      <c r="R3644"/>
      <c r="S3644"/>
      <c r="T3644"/>
      <c r="U3644"/>
      <c r="V3644"/>
      <c r="W3644">
        <v>18</v>
      </c>
    </row>
    <row r="3645" spans="1:23">
      <c r="A3645"/>
      <c r="B3645" t="s">
        <v>85</v>
      </c>
      <c r="C3645" t="s">
        <v>85</v>
      </c>
      <c r="D3645" t="s">
        <v>33</v>
      </c>
      <c r="E3645" t="s">
        <v>34</v>
      </c>
      <c r="F3645" t="str">
        <f>"0003941"</f>
        <v>0003941</v>
      </c>
      <c r="G3645">
        <v>1</v>
      </c>
      <c r="H3645" t="str">
        <f>"00000000"</f>
        <v>00000000</v>
      </c>
      <c r="I3645" t="s">
        <v>35</v>
      </c>
      <c r="J3645"/>
      <c r="K3645">
        <v>3.39</v>
      </c>
      <c r="L3645">
        <v>0.0</v>
      </c>
      <c r="M3645"/>
      <c r="N3645"/>
      <c r="O3645">
        <v>0.61</v>
      </c>
      <c r="P3645">
        <v>0.0</v>
      </c>
      <c r="Q3645">
        <v>4.0</v>
      </c>
      <c r="R3645"/>
      <c r="S3645"/>
      <c r="T3645"/>
      <c r="U3645"/>
      <c r="V3645"/>
      <c r="W3645">
        <v>18</v>
      </c>
    </row>
    <row r="3646" spans="1:23">
      <c r="A3646"/>
      <c r="B3646" t="s">
        <v>85</v>
      </c>
      <c r="C3646" t="s">
        <v>85</v>
      </c>
      <c r="D3646" t="s">
        <v>33</v>
      </c>
      <c r="E3646" t="s">
        <v>34</v>
      </c>
      <c r="F3646" t="str">
        <f>"0003942"</f>
        <v>0003942</v>
      </c>
      <c r="G3646">
        <v>1</v>
      </c>
      <c r="H3646" t="str">
        <f>"00000000"</f>
        <v>00000000</v>
      </c>
      <c r="I3646" t="s">
        <v>35</v>
      </c>
      <c r="J3646"/>
      <c r="K3646">
        <v>0.91</v>
      </c>
      <c r="L3646">
        <v>4.33</v>
      </c>
      <c r="M3646"/>
      <c r="N3646"/>
      <c r="O3646">
        <v>0.16</v>
      </c>
      <c r="P3646">
        <v>0.2</v>
      </c>
      <c r="Q3646">
        <v>5.6</v>
      </c>
      <c r="R3646"/>
      <c r="S3646"/>
      <c r="T3646"/>
      <c r="U3646"/>
      <c r="V3646"/>
      <c r="W3646">
        <v>18</v>
      </c>
    </row>
    <row r="3647" spans="1:23">
      <c r="A3647"/>
      <c r="B3647" t="s">
        <v>85</v>
      </c>
      <c r="C3647" t="s">
        <v>85</v>
      </c>
      <c r="D3647" t="s">
        <v>33</v>
      </c>
      <c r="E3647" t="s">
        <v>34</v>
      </c>
      <c r="F3647" t="str">
        <f>"0003943"</f>
        <v>0003943</v>
      </c>
      <c r="G3647">
        <v>1</v>
      </c>
      <c r="H3647" t="str">
        <f>"00000000"</f>
        <v>00000000</v>
      </c>
      <c r="I3647" t="s">
        <v>35</v>
      </c>
      <c r="J3647"/>
      <c r="K3647">
        <v>17.81</v>
      </c>
      <c r="L3647">
        <v>0.0</v>
      </c>
      <c r="M3647"/>
      <c r="N3647"/>
      <c r="O3647">
        <v>3.21</v>
      </c>
      <c r="P3647">
        <v>0.2</v>
      </c>
      <c r="Q3647">
        <v>21.22</v>
      </c>
      <c r="R3647"/>
      <c r="S3647"/>
      <c r="T3647"/>
      <c r="U3647"/>
      <c r="V3647"/>
      <c r="W3647">
        <v>18</v>
      </c>
    </row>
    <row r="3648" spans="1:23">
      <c r="A3648"/>
      <c r="B3648" t="s">
        <v>85</v>
      </c>
      <c r="C3648" t="s">
        <v>85</v>
      </c>
      <c r="D3648" t="s">
        <v>33</v>
      </c>
      <c r="E3648" t="s">
        <v>34</v>
      </c>
      <c r="F3648" t="str">
        <f>"0003944"</f>
        <v>0003944</v>
      </c>
      <c r="G3648">
        <v>1</v>
      </c>
      <c r="H3648" t="str">
        <f>"00000000"</f>
        <v>00000000</v>
      </c>
      <c r="I3648" t="s">
        <v>35</v>
      </c>
      <c r="J3648"/>
      <c r="K3648">
        <v>2.97</v>
      </c>
      <c r="L3648">
        <v>0.0</v>
      </c>
      <c r="M3648"/>
      <c r="N3648"/>
      <c r="O3648">
        <v>0.53</v>
      </c>
      <c r="P3648">
        <v>0.0</v>
      </c>
      <c r="Q3648">
        <v>3.5</v>
      </c>
      <c r="R3648"/>
      <c r="S3648"/>
      <c r="T3648"/>
      <c r="U3648"/>
      <c r="V3648"/>
      <c r="W3648">
        <v>18</v>
      </c>
    </row>
    <row r="3649" spans="1:23">
      <c r="A3649"/>
      <c r="B3649" t="s">
        <v>85</v>
      </c>
      <c r="C3649" t="s">
        <v>85</v>
      </c>
      <c r="D3649" t="s">
        <v>33</v>
      </c>
      <c r="E3649" t="s">
        <v>34</v>
      </c>
      <c r="F3649" t="str">
        <f>"0003945"</f>
        <v>0003945</v>
      </c>
      <c r="G3649">
        <v>1</v>
      </c>
      <c r="H3649" t="str">
        <f>"00000000"</f>
        <v>00000000</v>
      </c>
      <c r="I3649" t="s">
        <v>35</v>
      </c>
      <c r="J3649"/>
      <c r="K3649">
        <v>36.29</v>
      </c>
      <c r="L3649">
        <v>0.0</v>
      </c>
      <c r="M3649"/>
      <c r="N3649"/>
      <c r="O3649">
        <v>6.53</v>
      </c>
      <c r="P3649">
        <v>0.2</v>
      </c>
      <c r="Q3649">
        <v>43.02</v>
      </c>
      <c r="R3649"/>
      <c r="S3649"/>
      <c r="T3649"/>
      <c r="U3649"/>
      <c r="V3649"/>
      <c r="W3649">
        <v>18</v>
      </c>
    </row>
    <row r="3650" spans="1:23">
      <c r="A3650"/>
      <c r="B3650" t="s">
        <v>85</v>
      </c>
      <c r="C3650" t="s">
        <v>85</v>
      </c>
      <c r="D3650" t="s">
        <v>33</v>
      </c>
      <c r="E3650" t="s">
        <v>34</v>
      </c>
      <c r="F3650" t="str">
        <f>"0003946"</f>
        <v>0003946</v>
      </c>
      <c r="G3650">
        <v>1</v>
      </c>
      <c r="H3650" t="str">
        <f>"00000000"</f>
        <v>00000000</v>
      </c>
      <c r="I3650" t="s">
        <v>35</v>
      </c>
      <c r="J3650"/>
      <c r="K3650">
        <v>6.78</v>
      </c>
      <c r="L3650">
        <v>0.0</v>
      </c>
      <c r="M3650"/>
      <c r="N3650"/>
      <c r="O3650">
        <v>1.22</v>
      </c>
      <c r="P3650">
        <v>0.0</v>
      </c>
      <c r="Q3650">
        <v>8.0</v>
      </c>
      <c r="R3650"/>
      <c r="S3650"/>
      <c r="T3650"/>
      <c r="U3650"/>
      <c r="V3650"/>
      <c r="W3650">
        <v>18</v>
      </c>
    </row>
    <row r="3651" spans="1:23">
      <c r="A3651"/>
      <c r="B3651" t="s">
        <v>85</v>
      </c>
      <c r="C3651" t="s">
        <v>85</v>
      </c>
      <c r="D3651" t="s">
        <v>33</v>
      </c>
      <c r="E3651" t="s">
        <v>34</v>
      </c>
      <c r="F3651" t="str">
        <f>"0003947"</f>
        <v>0003947</v>
      </c>
      <c r="G3651">
        <v>1</v>
      </c>
      <c r="H3651" t="str">
        <f>"00000000"</f>
        <v>00000000</v>
      </c>
      <c r="I3651" t="s">
        <v>35</v>
      </c>
      <c r="J3651"/>
      <c r="K3651">
        <v>3.39</v>
      </c>
      <c r="L3651">
        <v>0.0</v>
      </c>
      <c r="M3651"/>
      <c r="N3651"/>
      <c r="O3651">
        <v>0.61</v>
      </c>
      <c r="P3651">
        <v>0.0</v>
      </c>
      <c r="Q3651">
        <v>4.0</v>
      </c>
      <c r="R3651"/>
      <c r="S3651"/>
      <c r="T3651"/>
      <c r="U3651"/>
      <c r="V3651"/>
      <c r="W3651">
        <v>18</v>
      </c>
    </row>
    <row r="3652" spans="1:23">
      <c r="A3652"/>
      <c r="B3652" t="s">
        <v>85</v>
      </c>
      <c r="C3652" t="s">
        <v>85</v>
      </c>
      <c r="D3652" t="s">
        <v>33</v>
      </c>
      <c r="E3652" t="s">
        <v>34</v>
      </c>
      <c r="F3652" t="str">
        <f>"0003948"</f>
        <v>0003948</v>
      </c>
      <c r="G3652">
        <v>1</v>
      </c>
      <c r="H3652" t="str">
        <f>"00000000"</f>
        <v>00000000</v>
      </c>
      <c r="I3652" t="s">
        <v>35</v>
      </c>
      <c r="J3652"/>
      <c r="K3652">
        <v>3.81</v>
      </c>
      <c r="L3652">
        <v>0.0</v>
      </c>
      <c r="M3652"/>
      <c r="N3652"/>
      <c r="O3652">
        <v>0.69</v>
      </c>
      <c r="P3652">
        <v>0.0</v>
      </c>
      <c r="Q3652">
        <v>4.5</v>
      </c>
      <c r="R3652"/>
      <c r="S3652"/>
      <c r="T3652"/>
      <c r="U3652"/>
      <c r="V3652"/>
      <c r="W3652">
        <v>18</v>
      </c>
    </row>
    <row r="3653" spans="1:23">
      <c r="A3653"/>
      <c r="B3653" t="s">
        <v>85</v>
      </c>
      <c r="C3653" t="s">
        <v>85</v>
      </c>
      <c r="D3653" t="s">
        <v>33</v>
      </c>
      <c r="E3653" t="s">
        <v>34</v>
      </c>
      <c r="F3653" t="str">
        <f>"0003949"</f>
        <v>0003949</v>
      </c>
      <c r="G3653">
        <v>1</v>
      </c>
      <c r="H3653" t="str">
        <f>"00000000"</f>
        <v>00000000</v>
      </c>
      <c r="I3653" t="s">
        <v>35</v>
      </c>
      <c r="J3653"/>
      <c r="K3653">
        <v>26.76</v>
      </c>
      <c r="L3653">
        <v>0.0</v>
      </c>
      <c r="M3653"/>
      <c r="N3653"/>
      <c r="O3653">
        <v>4.82</v>
      </c>
      <c r="P3653">
        <v>0.2</v>
      </c>
      <c r="Q3653">
        <v>31.78</v>
      </c>
      <c r="R3653"/>
      <c r="S3653"/>
      <c r="T3653"/>
      <c r="U3653"/>
      <c r="V3653"/>
      <c r="W3653">
        <v>18</v>
      </c>
    </row>
    <row r="3654" spans="1:23">
      <c r="A3654"/>
      <c r="B3654" t="s">
        <v>85</v>
      </c>
      <c r="C3654" t="s">
        <v>85</v>
      </c>
      <c r="D3654" t="s">
        <v>33</v>
      </c>
      <c r="E3654" t="s">
        <v>34</v>
      </c>
      <c r="F3654" t="str">
        <f>"0003950"</f>
        <v>0003950</v>
      </c>
      <c r="G3654">
        <v>1</v>
      </c>
      <c r="H3654" t="str">
        <f>"00000000"</f>
        <v>00000000</v>
      </c>
      <c r="I3654" t="s">
        <v>35</v>
      </c>
      <c r="J3654"/>
      <c r="K3654">
        <v>11.03</v>
      </c>
      <c r="L3654">
        <v>0.0</v>
      </c>
      <c r="M3654"/>
      <c r="N3654"/>
      <c r="O3654">
        <v>1.99</v>
      </c>
      <c r="P3654">
        <v>0.2</v>
      </c>
      <c r="Q3654">
        <v>13.22</v>
      </c>
      <c r="R3654"/>
      <c r="S3654"/>
      <c r="T3654"/>
      <c r="U3654"/>
      <c r="V3654"/>
      <c r="W3654">
        <v>18</v>
      </c>
    </row>
    <row r="3655" spans="1:23">
      <c r="A3655"/>
      <c r="B3655" t="s">
        <v>85</v>
      </c>
      <c r="C3655" t="s">
        <v>85</v>
      </c>
      <c r="D3655" t="s">
        <v>33</v>
      </c>
      <c r="E3655" t="s">
        <v>34</v>
      </c>
      <c r="F3655" t="str">
        <f>"0003951"</f>
        <v>0003951</v>
      </c>
      <c r="G3655">
        <v>1</v>
      </c>
      <c r="H3655" t="str">
        <f>"00000000"</f>
        <v>00000000</v>
      </c>
      <c r="I3655" t="s">
        <v>35</v>
      </c>
      <c r="J3655"/>
      <c r="K3655">
        <v>12.63</v>
      </c>
      <c r="L3655">
        <v>0.0</v>
      </c>
      <c r="M3655"/>
      <c r="N3655"/>
      <c r="O3655">
        <v>2.27</v>
      </c>
      <c r="P3655">
        <v>0.0</v>
      </c>
      <c r="Q3655">
        <v>14.9</v>
      </c>
      <c r="R3655"/>
      <c r="S3655"/>
      <c r="T3655"/>
      <c r="U3655"/>
      <c r="V3655"/>
      <c r="W3655">
        <v>18</v>
      </c>
    </row>
    <row r="3656" spans="1:23">
      <c r="A3656"/>
      <c r="B3656" t="s">
        <v>85</v>
      </c>
      <c r="C3656" t="s">
        <v>85</v>
      </c>
      <c r="D3656" t="s">
        <v>33</v>
      </c>
      <c r="E3656" t="s">
        <v>34</v>
      </c>
      <c r="F3656" t="str">
        <f>"0003952"</f>
        <v>0003952</v>
      </c>
      <c r="G3656">
        <v>1</v>
      </c>
      <c r="H3656" t="str">
        <f>"00000000"</f>
        <v>00000000</v>
      </c>
      <c r="I3656" t="s">
        <v>35</v>
      </c>
      <c r="J3656"/>
      <c r="K3656">
        <v>3.14</v>
      </c>
      <c r="L3656">
        <v>0.0</v>
      </c>
      <c r="M3656"/>
      <c r="N3656"/>
      <c r="O3656">
        <v>0.56</v>
      </c>
      <c r="P3656">
        <v>0.0</v>
      </c>
      <c r="Q3656">
        <v>3.7</v>
      </c>
      <c r="R3656"/>
      <c r="S3656"/>
      <c r="T3656"/>
      <c r="U3656"/>
      <c r="V3656"/>
      <c r="W3656">
        <v>18</v>
      </c>
    </row>
    <row r="3657" spans="1:23">
      <c r="A3657"/>
      <c r="B3657" t="s">
        <v>85</v>
      </c>
      <c r="C3657" t="s">
        <v>85</v>
      </c>
      <c r="D3657" t="s">
        <v>33</v>
      </c>
      <c r="E3657" t="s">
        <v>34</v>
      </c>
      <c r="F3657" t="str">
        <f>"0003953"</f>
        <v>0003953</v>
      </c>
      <c r="G3657">
        <v>1</v>
      </c>
      <c r="H3657" t="str">
        <f>"00000000"</f>
        <v>00000000</v>
      </c>
      <c r="I3657" t="s">
        <v>35</v>
      </c>
      <c r="J3657"/>
      <c r="K3657">
        <v>2.53</v>
      </c>
      <c r="L3657">
        <v>0.0</v>
      </c>
      <c r="M3657"/>
      <c r="N3657"/>
      <c r="O3657">
        <v>0.46</v>
      </c>
      <c r="P3657">
        <v>0.0</v>
      </c>
      <c r="Q3657">
        <v>2.99</v>
      </c>
      <c r="R3657"/>
      <c r="S3657"/>
      <c r="T3657"/>
      <c r="U3657"/>
      <c r="V3657"/>
      <c r="W3657">
        <v>18</v>
      </c>
    </row>
    <row r="3658" spans="1:23">
      <c r="A3658"/>
      <c r="B3658" t="s">
        <v>85</v>
      </c>
      <c r="C3658" t="s">
        <v>85</v>
      </c>
      <c r="D3658" t="s">
        <v>33</v>
      </c>
      <c r="E3658" t="s">
        <v>34</v>
      </c>
      <c r="F3658" t="str">
        <f>"0003954"</f>
        <v>0003954</v>
      </c>
      <c r="G3658">
        <v>1</v>
      </c>
      <c r="H3658" t="str">
        <f>"00000000"</f>
        <v>00000000</v>
      </c>
      <c r="I3658" t="s">
        <v>35</v>
      </c>
      <c r="J3658"/>
      <c r="K3658">
        <v>15.0</v>
      </c>
      <c r="L3658">
        <v>0.0</v>
      </c>
      <c r="M3658"/>
      <c r="N3658"/>
      <c r="O3658">
        <v>2.7</v>
      </c>
      <c r="P3658">
        <v>0.0</v>
      </c>
      <c r="Q3658">
        <v>17.7</v>
      </c>
      <c r="R3658"/>
      <c r="S3658"/>
      <c r="T3658"/>
      <c r="U3658"/>
      <c r="V3658"/>
      <c r="W3658">
        <v>18</v>
      </c>
    </row>
    <row r="3659" spans="1:23">
      <c r="A3659"/>
      <c r="B3659" t="s">
        <v>85</v>
      </c>
      <c r="C3659" t="s">
        <v>85</v>
      </c>
      <c r="D3659" t="s">
        <v>33</v>
      </c>
      <c r="E3659" t="s">
        <v>34</v>
      </c>
      <c r="F3659" t="str">
        <f>"0003955"</f>
        <v>0003955</v>
      </c>
      <c r="G3659">
        <v>1</v>
      </c>
      <c r="H3659" t="str">
        <f>"00000000"</f>
        <v>00000000</v>
      </c>
      <c r="I3659" t="s">
        <v>35</v>
      </c>
      <c r="J3659"/>
      <c r="K3659">
        <v>3.56</v>
      </c>
      <c r="L3659">
        <v>0.0</v>
      </c>
      <c r="M3659"/>
      <c r="N3659"/>
      <c r="O3659">
        <v>0.64</v>
      </c>
      <c r="P3659">
        <v>0.0</v>
      </c>
      <c r="Q3659">
        <v>4.2</v>
      </c>
      <c r="R3659"/>
      <c r="S3659"/>
      <c r="T3659"/>
      <c r="U3659"/>
      <c r="V3659"/>
      <c r="W3659">
        <v>18</v>
      </c>
    </row>
    <row r="3660" spans="1:23">
      <c r="A3660"/>
      <c r="B3660" t="s">
        <v>85</v>
      </c>
      <c r="C3660" t="s">
        <v>85</v>
      </c>
      <c r="D3660" t="s">
        <v>33</v>
      </c>
      <c r="E3660" t="s">
        <v>34</v>
      </c>
      <c r="F3660" t="str">
        <f>"0003956"</f>
        <v>0003956</v>
      </c>
      <c r="G3660">
        <v>1</v>
      </c>
      <c r="H3660" t="str">
        <f>"00000000"</f>
        <v>00000000</v>
      </c>
      <c r="I3660" t="s">
        <v>35</v>
      </c>
      <c r="J3660"/>
      <c r="K3660">
        <v>21.89</v>
      </c>
      <c r="L3660">
        <v>0.0</v>
      </c>
      <c r="M3660"/>
      <c r="N3660"/>
      <c r="O3660">
        <v>3.94</v>
      </c>
      <c r="P3660">
        <v>0.0</v>
      </c>
      <c r="Q3660">
        <v>25.83</v>
      </c>
      <c r="R3660"/>
      <c r="S3660"/>
      <c r="T3660"/>
      <c r="U3660"/>
      <c r="V3660"/>
      <c r="W3660">
        <v>18</v>
      </c>
    </row>
    <row r="3661" spans="1:23">
      <c r="A3661"/>
      <c r="B3661" t="s">
        <v>85</v>
      </c>
      <c r="C3661" t="s">
        <v>85</v>
      </c>
      <c r="D3661" t="s">
        <v>33</v>
      </c>
      <c r="E3661" t="s">
        <v>34</v>
      </c>
      <c r="F3661" t="str">
        <f>"0003957"</f>
        <v>0003957</v>
      </c>
      <c r="G3661">
        <v>1</v>
      </c>
      <c r="H3661" t="str">
        <f>"00000000"</f>
        <v>00000000</v>
      </c>
      <c r="I3661" t="s">
        <v>35</v>
      </c>
      <c r="J3661"/>
      <c r="K3661">
        <v>0.02</v>
      </c>
      <c r="L3661">
        <v>0.0</v>
      </c>
      <c r="M3661"/>
      <c r="N3661"/>
      <c r="O3661">
        <v>0.0</v>
      </c>
      <c r="P3661">
        <v>0.2</v>
      </c>
      <c r="Q3661">
        <v>0.22</v>
      </c>
      <c r="R3661"/>
      <c r="S3661"/>
      <c r="T3661"/>
      <c r="U3661"/>
      <c r="V3661"/>
      <c r="W3661">
        <v>18</v>
      </c>
    </row>
    <row r="3662" spans="1:23">
      <c r="A3662"/>
      <c r="B3662" t="s">
        <v>86</v>
      </c>
      <c r="C3662" t="s">
        <v>86</v>
      </c>
      <c r="D3662" t="s">
        <v>33</v>
      </c>
      <c r="E3662" t="s">
        <v>34</v>
      </c>
      <c r="F3662" t="str">
        <f>"0003958"</f>
        <v>0003958</v>
      </c>
      <c r="G3662">
        <v>1</v>
      </c>
      <c r="H3662" t="str">
        <f>"00000000"</f>
        <v>00000000</v>
      </c>
      <c r="I3662" t="s">
        <v>35</v>
      </c>
      <c r="J3662"/>
      <c r="K3662">
        <v>6.69</v>
      </c>
      <c r="L3662">
        <v>0.0</v>
      </c>
      <c r="M3662"/>
      <c r="N3662"/>
      <c r="O3662">
        <v>1.21</v>
      </c>
      <c r="P3662">
        <v>0.0</v>
      </c>
      <c r="Q3662">
        <v>7.9</v>
      </c>
      <c r="R3662"/>
      <c r="S3662"/>
      <c r="T3662"/>
      <c r="U3662"/>
      <c r="V3662"/>
      <c r="W3662">
        <v>18</v>
      </c>
    </row>
    <row r="3663" spans="1:23">
      <c r="A3663"/>
      <c r="B3663" t="s">
        <v>86</v>
      </c>
      <c r="C3663" t="s">
        <v>86</v>
      </c>
      <c r="D3663" t="s">
        <v>36</v>
      </c>
      <c r="E3663" t="s">
        <v>37</v>
      </c>
      <c r="F3663" t="str">
        <f>"0000049"</f>
        <v>0000049</v>
      </c>
      <c r="G3663">
        <v>6</v>
      </c>
      <c r="H3663" t="str">
        <f>"20383316473"</f>
        <v>20383316473</v>
      </c>
      <c r="I3663" t="s">
        <v>87</v>
      </c>
      <c r="J3663"/>
      <c r="K3663">
        <v>15.19</v>
      </c>
      <c r="L3663">
        <v>0.0</v>
      </c>
      <c r="M3663"/>
      <c r="N3663"/>
      <c r="O3663">
        <v>2.73</v>
      </c>
      <c r="P3663">
        <v>0.2</v>
      </c>
      <c r="Q3663">
        <v>18.12</v>
      </c>
      <c r="R3663"/>
      <c r="S3663"/>
      <c r="T3663"/>
      <c r="U3663"/>
      <c r="V3663"/>
      <c r="W3663">
        <v>18</v>
      </c>
    </row>
    <row r="3664" spans="1:23">
      <c r="A3664"/>
      <c r="B3664" t="s">
        <v>86</v>
      </c>
      <c r="C3664" t="s">
        <v>86</v>
      </c>
      <c r="D3664" t="s">
        <v>33</v>
      </c>
      <c r="E3664" t="s">
        <v>34</v>
      </c>
      <c r="F3664" t="str">
        <f>"0003959"</f>
        <v>0003959</v>
      </c>
      <c r="G3664">
        <v>1</v>
      </c>
      <c r="H3664" t="str">
        <f>"00000000"</f>
        <v>00000000</v>
      </c>
      <c r="I3664" t="s">
        <v>35</v>
      </c>
      <c r="J3664"/>
      <c r="K3664">
        <v>1.69</v>
      </c>
      <c r="L3664">
        <v>0.0</v>
      </c>
      <c r="M3664"/>
      <c r="N3664"/>
      <c r="O3664">
        <v>0.31</v>
      </c>
      <c r="P3664">
        <v>0.0</v>
      </c>
      <c r="Q3664">
        <v>2.0</v>
      </c>
      <c r="R3664"/>
      <c r="S3664"/>
      <c r="T3664"/>
      <c r="U3664"/>
      <c r="V3664"/>
      <c r="W3664">
        <v>18</v>
      </c>
    </row>
    <row r="3665" spans="1:23">
      <c r="A3665"/>
      <c r="B3665" t="s">
        <v>86</v>
      </c>
      <c r="C3665" t="s">
        <v>86</v>
      </c>
      <c r="D3665" t="s">
        <v>33</v>
      </c>
      <c r="E3665" t="s">
        <v>34</v>
      </c>
      <c r="F3665" t="str">
        <f>"0003960"</f>
        <v>0003960</v>
      </c>
      <c r="G3665">
        <v>1</v>
      </c>
      <c r="H3665" t="str">
        <f>"00000000"</f>
        <v>00000000</v>
      </c>
      <c r="I3665" t="s">
        <v>35</v>
      </c>
      <c r="J3665"/>
      <c r="K3665">
        <v>3.41</v>
      </c>
      <c r="L3665">
        <v>0.0</v>
      </c>
      <c r="M3665"/>
      <c r="N3665"/>
      <c r="O3665">
        <v>0.61</v>
      </c>
      <c r="P3665">
        <v>0.2</v>
      </c>
      <c r="Q3665">
        <v>4.22</v>
      </c>
      <c r="R3665"/>
      <c r="S3665"/>
      <c r="T3665"/>
      <c r="U3665"/>
      <c r="V3665"/>
      <c r="W3665">
        <v>18</v>
      </c>
    </row>
    <row r="3666" spans="1:23">
      <c r="A3666"/>
      <c r="B3666" t="s">
        <v>86</v>
      </c>
      <c r="C3666" t="s">
        <v>86</v>
      </c>
      <c r="D3666" t="s">
        <v>33</v>
      </c>
      <c r="E3666" t="s">
        <v>34</v>
      </c>
      <c r="F3666" t="str">
        <f>"0003961"</f>
        <v>0003961</v>
      </c>
      <c r="G3666">
        <v>1</v>
      </c>
      <c r="H3666" t="str">
        <f>"00000000"</f>
        <v>00000000</v>
      </c>
      <c r="I3666" t="s">
        <v>35</v>
      </c>
      <c r="J3666"/>
      <c r="K3666">
        <v>3.81</v>
      </c>
      <c r="L3666">
        <v>0.0</v>
      </c>
      <c r="M3666"/>
      <c r="N3666"/>
      <c r="O3666">
        <v>0.69</v>
      </c>
      <c r="P3666">
        <v>0.0</v>
      </c>
      <c r="Q3666">
        <v>4.5</v>
      </c>
      <c r="R3666"/>
      <c r="S3666"/>
      <c r="T3666"/>
      <c r="U3666"/>
      <c r="V3666"/>
      <c r="W3666">
        <v>18</v>
      </c>
    </row>
    <row r="3667" spans="1:23">
      <c r="A3667"/>
      <c r="B3667" t="s">
        <v>86</v>
      </c>
      <c r="C3667" t="s">
        <v>86</v>
      </c>
      <c r="D3667" t="s">
        <v>33</v>
      </c>
      <c r="E3667" t="s">
        <v>34</v>
      </c>
      <c r="F3667" t="str">
        <f>"0003962"</f>
        <v>0003962</v>
      </c>
      <c r="G3667">
        <v>1</v>
      </c>
      <c r="H3667" t="str">
        <f>"00000000"</f>
        <v>00000000</v>
      </c>
      <c r="I3667" t="s">
        <v>35</v>
      </c>
      <c r="J3667"/>
      <c r="K3667">
        <v>1.86</v>
      </c>
      <c r="L3667">
        <v>0.0</v>
      </c>
      <c r="M3667"/>
      <c r="N3667"/>
      <c r="O3667">
        <v>0.34</v>
      </c>
      <c r="P3667">
        <v>0.0</v>
      </c>
      <c r="Q3667">
        <v>2.2</v>
      </c>
      <c r="R3667"/>
      <c r="S3667"/>
      <c r="T3667"/>
      <c r="U3667"/>
      <c r="V3667"/>
      <c r="W3667">
        <v>18</v>
      </c>
    </row>
    <row r="3668" spans="1:23">
      <c r="A3668"/>
      <c r="B3668" t="s">
        <v>86</v>
      </c>
      <c r="C3668" t="s">
        <v>86</v>
      </c>
      <c r="D3668" t="s">
        <v>33</v>
      </c>
      <c r="E3668" t="s">
        <v>34</v>
      </c>
      <c r="F3668" t="str">
        <f>"0003963"</f>
        <v>0003963</v>
      </c>
      <c r="G3668">
        <v>1</v>
      </c>
      <c r="H3668" t="str">
        <f>"00000000"</f>
        <v>00000000</v>
      </c>
      <c r="I3668" t="s">
        <v>35</v>
      </c>
      <c r="J3668"/>
      <c r="K3668">
        <v>6.65</v>
      </c>
      <c r="L3668">
        <v>0.0</v>
      </c>
      <c r="M3668"/>
      <c r="N3668"/>
      <c r="O3668">
        <v>1.2</v>
      </c>
      <c r="P3668">
        <v>0.0</v>
      </c>
      <c r="Q3668">
        <v>7.85</v>
      </c>
      <c r="R3668"/>
      <c r="S3668"/>
      <c r="T3668"/>
      <c r="U3668"/>
      <c r="V3668"/>
      <c r="W3668">
        <v>18</v>
      </c>
    </row>
    <row r="3669" spans="1:23">
      <c r="A3669"/>
      <c r="B3669" t="s">
        <v>86</v>
      </c>
      <c r="C3669" t="s">
        <v>86</v>
      </c>
      <c r="D3669" t="s">
        <v>33</v>
      </c>
      <c r="E3669" t="s">
        <v>34</v>
      </c>
      <c r="F3669" t="str">
        <f>"0003964"</f>
        <v>0003964</v>
      </c>
      <c r="G3669">
        <v>1</v>
      </c>
      <c r="H3669" t="str">
        <f>"00000000"</f>
        <v>00000000</v>
      </c>
      <c r="I3669" t="s">
        <v>35</v>
      </c>
      <c r="J3669"/>
      <c r="K3669">
        <v>8.47</v>
      </c>
      <c r="L3669">
        <v>0.0</v>
      </c>
      <c r="M3669"/>
      <c r="N3669"/>
      <c r="O3669">
        <v>1.53</v>
      </c>
      <c r="P3669">
        <v>0.0</v>
      </c>
      <c r="Q3669">
        <v>10.0</v>
      </c>
      <c r="R3669"/>
      <c r="S3669"/>
      <c r="T3669"/>
      <c r="U3669"/>
      <c r="V3669"/>
      <c r="W3669">
        <v>18</v>
      </c>
    </row>
    <row r="3670" spans="1:23">
      <c r="A3670"/>
      <c r="B3670" t="s">
        <v>86</v>
      </c>
      <c r="C3670" t="s">
        <v>86</v>
      </c>
      <c r="D3670" t="s">
        <v>33</v>
      </c>
      <c r="E3670" t="s">
        <v>34</v>
      </c>
      <c r="F3670" t="str">
        <f>"0003965"</f>
        <v>0003965</v>
      </c>
      <c r="G3670">
        <v>1</v>
      </c>
      <c r="H3670" t="str">
        <f>"00000000"</f>
        <v>00000000</v>
      </c>
      <c r="I3670" t="s">
        <v>35</v>
      </c>
      <c r="J3670"/>
      <c r="K3670">
        <v>0.02</v>
      </c>
      <c r="L3670">
        <v>0.0</v>
      </c>
      <c r="M3670"/>
      <c r="N3670"/>
      <c r="O3670">
        <v>0.0</v>
      </c>
      <c r="P3670">
        <v>0.2</v>
      </c>
      <c r="Q3670">
        <v>0.22</v>
      </c>
      <c r="R3670"/>
      <c r="S3670"/>
      <c r="T3670"/>
      <c r="U3670"/>
      <c r="V3670"/>
      <c r="W3670">
        <v>18</v>
      </c>
    </row>
    <row r="3671" spans="1:23">
      <c r="A3671"/>
      <c r="B3671" t="s">
        <v>86</v>
      </c>
      <c r="C3671" t="s">
        <v>86</v>
      </c>
      <c r="D3671" t="s">
        <v>33</v>
      </c>
      <c r="E3671" t="s">
        <v>34</v>
      </c>
      <c r="F3671" t="str">
        <f>"0003966"</f>
        <v>0003966</v>
      </c>
      <c r="G3671">
        <v>1</v>
      </c>
      <c r="H3671" t="str">
        <f>"00000000"</f>
        <v>00000000</v>
      </c>
      <c r="I3671" t="s">
        <v>35</v>
      </c>
      <c r="J3671"/>
      <c r="K3671">
        <v>14.49</v>
      </c>
      <c r="L3671">
        <v>7.37</v>
      </c>
      <c r="M3671"/>
      <c r="N3671"/>
      <c r="O3671">
        <v>2.61</v>
      </c>
      <c r="P3671">
        <v>0.2</v>
      </c>
      <c r="Q3671">
        <v>24.67</v>
      </c>
      <c r="R3671"/>
      <c r="S3671"/>
      <c r="T3671"/>
      <c r="U3671"/>
      <c r="V3671"/>
      <c r="W3671">
        <v>18</v>
      </c>
    </row>
    <row r="3672" spans="1:23">
      <c r="A3672"/>
      <c r="B3672" t="s">
        <v>86</v>
      </c>
      <c r="C3672" t="s">
        <v>86</v>
      </c>
      <c r="D3672" t="s">
        <v>33</v>
      </c>
      <c r="E3672" t="s">
        <v>34</v>
      </c>
      <c r="F3672" t="str">
        <f>"0003967"</f>
        <v>0003967</v>
      </c>
      <c r="G3672">
        <v>1</v>
      </c>
      <c r="H3672" t="str">
        <f>"00000000"</f>
        <v>00000000</v>
      </c>
      <c r="I3672" t="s">
        <v>35</v>
      </c>
      <c r="J3672"/>
      <c r="K3672">
        <v>3.38</v>
      </c>
      <c r="L3672">
        <v>0.0</v>
      </c>
      <c r="M3672"/>
      <c r="N3672"/>
      <c r="O3672">
        <v>0.61</v>
      </c>
      <c r="P3672">
        <v>0.0</v>
      </c>
      <c r="Q3672">
        <v>3.99</v>
      </c>
      <c r="R3672"/>
      <c r="S3672"/>
      <c r="T3672"/>
      <c r="U3672"/>
      <c r="V3672"/>
      <c r="W3672">
        <v>18</v>
      </c>
    </row>
    <row r="3673" spans="1:23">
      <c r="A3673"/>
      <c r="B3673" t="s">
        <v>86</v>
      </c>
      <c r="C3673" t="s">
        <v>86</v>
      </c>
      <c r="D3673" t="s">
        <v>33</v>
      </c>
      <c r="E3673" t="s">
        <v>34</v>
      </c>
      <c r="F3673" t="str">
        <f>"0003968"</f>
        <v>0003968</v>
      </c>
      <c r="G3673">
        <v>1</v>
      </c>
      <c r="H3673" t="str">
        <f>"00000000"</f>
        <v>00000000</v>
      </c>
      <c r="I3673" t="s">
        <v>35</v>
      </c>
      <c r="J3673"/>
      <c r="K3673">
        <v>11.49</v>
      </c>
      <c r="L3673">
        <v>16.49</v>
      </c>
      <c r="M3673"/>
      <c r="N3673"/>
      <c r="O3673">
        <v>2.07</v>
      </c>
      <c r="P3673">
        <v>0.2</v>
      </c>
      <c r="Q3673">
        <v>30.24</v>
      </c>
      <c r="R3673"/>
      <c r="S3673"/>
      <c r="T3673"/>
      <c r="U3673"/>
      <c r="V3673"/>
      <c r="W3673">
        <v>18</v>
      </c>
    </row>
    <row r="3674" spans="1:23">
      <c r="A3674"/>
      <c r="B3674" t="s">
        <v>86</v>
      </c>
      <c r="C3674" t="s">
        <v>86</v>
      </c>
      <c r="D3674" t="s">
        <v>33</v>
      </c>
      <c r="E3674" t="s">
        <v>34</v>
      </c>
      <c r="F3674" t="str">
        <f>"0003969"</f>
        <v>0003969</v>
      </c>
      <c r="G3674">
        <v>1</v>
      </c>
      <c r="H3674" t="str">
        <f>"00000000"</f>
        <v>00000000</v>
      </c>
      <c r="I3674" t="s">
        <v>35</v>
      </c>
      <c r="J3674"/>
      <c r="K3674">
        <v>3.23</v>
      </c>
      <c r="L3674">
        <v>0.0</v>
      </c>
      <c r="M3674"/>
      <c r="N3674"/>
      <c r="O3674">
        <v>0.58</v>
      </c>
      <c r="P3674">
        <v>0.0</v>
      </c>
      <c r="Q3674">
        <v>3.81</v>
      </c>
      <c r="R3674"/>
      <c r="S3674"/>
      <c r="T3674"/>
      <c r="U3674"/>
      <c r="V3674"/>
      <c r="W3674">
        <v>18</v>
      </c>
    </row>
    <row r="3675" spans="1:23">
      <c r="A3675"/>
      <c r="B3675" t="s">
        <v>86</v>
      </c>
      <c r="C3675" t="s">
        <v>86</v>
      </c>
      <c r="D3675" t="s">
        <v>33</v>
      </c>
      <c r="E3675" t="s">
        <v>34</v>
      </c>
      <c r="F3675" t="str">
        <f>"0003970"</f>
        <v>0003970</v>
      </c>
      <c r="G3675">
        <v>1</v>
      </c>
      <c r="H3675" t="str">
        <f>"00000000"</f>
        <v>00000000</v>
      </c>
      <c r="I3675" t="s">
        <v>35</v>
      </c>
      <c r="J3675"/>
      <c r="K3675">
        <v>10.98</v>
      </c>
      <c r="L3675">
        <v>0.0</v>
      </c>
      <c r="M3675"/>
      <c r="N3675"/>
      <c r="O3675">
        <v>1.98</v>
      </c>
      <c r="P3675">
        <v>0.2</v>
      </c>
      <c r="Q3675">
        <v>13.16</v>
      </c>
      <c r="R3675"/>
      <c r="S3675"/>
      <c r="T3675"/>
      <c r="U3675"/>
      <c r="V3675"/>
      <c r="W3675">
        <v>18</v>
      </c>
    </row>
    <row r="3676" spans="1:23">
      <c r="A3676"/>
      <c r="B3676" t="s">
        <v>86</v>
      </c>
      <c r="C3676" t="s">
        <v>86</v>
      </c>
      <c r="D3676" t="s">
        <v>33</v>
      </c>
      <c r="E3676" t="s">
        <v>34</v>
      </c>
      <c r="F3676" t="str">
        <f>"0003971"</f>
        <v>0003971</v>
      </c>
      <c r="G3676">
        <v>1</v>
      </c>
      <c r="H3676" t="str">
        <f>"00000000"</f>
        <v>00000000</v>
      </c>
      <c r="I3676" t="s">
        <v>35</v>
      </c>
      <c r="J3676"/>
      <c r="K3676">
        <v>16.63</v>
      </c>
      <c r="L3676">
        <v>3.2</v>
      </c>
      <c r="M3676"/>
      <c r="N3676"/>
      <c r="O3676">
        <v>2.99</v>
      </c>
      <c r="P3676">
        <v>0.2</v>
      </c>
      <c r="Q3676">
        <v>23.02</v>
      </c>
      <c r="R3676"/>
      <c r="S3676"/>
      <c r="T3676"/>
      <c r="U3676"/>
      <c r="V3676"/>
      <c r="W3676">
        <v>18</v>
      </c>
    </row>
    <row r="3677" spans="1:23">
      <c r="A3677"/>
      <c r="B3677" t="s">
        <v>86</v>
      </c>
      <c r="C3677" t="s">
        <v>86</v>
      </c>
      <c r="D3677" t="s">
        <v>33</v>
      </c>
      <c r="E3677" t="s">
        <v>34</v>
      </c>
      <c r="F3677" t="str">
        <f>"0003972"</f>
        <v>0003972</v>
      </c>
      <c r="G3677">
        <v>1</v>
      </c>
      <c r="H3677" t="str">
        <f>"00000000"</f>
        <v>00000000</v>
      </c>
      <c r="I3677" t="s">
        <v>35</v>
      </c>
      <c r="J3677"/>
      <c r="K3677">
        <v>2.91</v>
      </c>
      <c r="L3677">
        <v>0.0</v>
      </c>
      <c r="M3677"/>
      <c r="N3677"/>
      <c r="O3677">
        <v>0.52</v>
      </c>
      <c r="P3677">
        <v>0.0</v>
      </c>
      <c r="Q3677">
        <v>3.43</v>
      </c>
      <c r="R3677"/>
      <c r="S3677"/>
      <c r="T3677"/>
      <c r="U3677"/>
      <c r="V3677"/>
      <c r="W3677">
        <v>18</v>
      </c>
    </row>
    <row r="3678" spans="1:23">
      <c r="A3678"/>
      <c r="B3678" t="s">
        <v>86</v>
      </c>
      <c r="C3678" t="s">
        <v>86</v>
      </c>
      <c r="D3678" t="s">
        <v>33</v>
      </c>
      <c r="E3678" t="s">
        <v>34</v>
      </c>
      <c r="F3678" t="str">
        <f>"0003973"</f>
        <v>0003973</v>
      </c>
      <c r="G3678">
        <v>1</v>
      </c>
      <c r="H3678" t="str">
        <f>"00000000"</f>
        <v>00000000</v>
      </c>
      <c r="I3678" t="s">
        <v>35</v>
      </c>
      <c r="J3678"/>
      <c r="K3678">
        <v>13.26</v>
      </c>
      <c r="L3678">
        <v>11.4</v>
      </c>
      <c r="M3678"/>
      <c r="N3678"/>
      <c r="O3678">
        <v>2.39</v>
      </c>
      <c r="P3678">
        <v>0.0</v>
      </c>
      <c r="Q3678">
        <v>27.05</v>
      </c>
      <c r="R3678"/>
      <c r="S3678"/>
      <c r="T3678"/>
      <c r="U3678"/>
      <c r="V3678"/>
      <c r="W3678">
        <v>18</v>
      </c>
    </row>
    <row r="3679" spans="1:23">
      <c r="A3679"/>
      <c r="B3679" t="s">
        <v>86</v>
      </c>
      <c r="C3679" t="s">
        <v>86</v>
      </c>
      <c r="D3679" t="s">
        <v>33</v>
      </c>
      <c r="E3679" t="s">
        <v>34</v>
      </c>
      <c r="F3679" t="str">
        <f>"0003974"</f>
        <v>0003974</v>
      </c>
      <c r="G3679">
        <v>1</v>
      </c>
      <c r="H3679" t="str">
        <f>"00000000"</f>
        <v>00000000</v>
      </c>
      <c r="I3679" t="s">
        <v>35</v>
      </c>
      <c r="J3679"/>
      <c r="K3679">
        <v>21.25</v>
      </c>
      <c r="L3679">
        <v>11.56</v>
      </c>
      <c r="M3679"/>
      <c r="N3679"/>
      <c r="O3679">
        <v>3.83</v>
      </c>
      <c r="P3679">
        <v>0.2</v>
      </c>
      <c r="Q3679">
        <v>36.84</v>
      </c>
      <c r="R3679"/>
      <c r="S3679"/>
      <c r="T3679"/>
      <c r="U3679"/>
      <c r="V3679"/>
      <c r="W3679">
        <v>18</v>
      </c>
    </row>
    <row r="3680" spans="1:23">
      <c r="A3680"/>
      <c r="B3680" t="s">
        <v>86</v>
      </c>
      <c r="C3680" t="s">
        <v>86</v>
      </c>
      <c r="D3680" t="s">
        <v>33</v>
      </c>
      <c r="E3680" t="s">
        <v>34</v>
      </c>
      <c r="F3680" t="str">
        <f>"0003975"</f>
        <v>0003975</v>
      </c>
      <c r="G3680">
        <v>1</v>
      </c>
      <c r="H3680" t="str">
        <f>"00000000"</f>
        <v>00000000</v>
      </c>
      <c r="I3680" t="s">
        <v>35</v>
      </c>
      <c r="J3680"/>
      <c r="K3680">
        <v>13.29</v>
      </c>
      <c r="L3680">
        <v>0.0</v>
      </c>
      <c r="M3680"/>
      <c r="N3680"/>
      <c r="O3680">
        <v>2.39</v>
      </c>
      <c r="P3680">
        <v>0.0</v>
      </c>
      <c r="Q3680">
        <v>15.68</v>
      </c>
      <c r="R3680"/>
      <c r="S3680"/>
      <c r="T3680"/>
      <c r="U3680"/>
      <c r="V3680"/>
      <c r="W3680">
        <v>18</v>
      </c>
    </row>
    <row r="3681" spans="1:23">
      <c r="A3681"/>
      <c r="B3681" t="s">
        <v>86</v>
      </c>
      <c r="C3681" t="s">
        <v>86</v>
      </c>
      <c r="D3681" t="s">
        <v>33</v>
      </c>
      <c r="E3681" t="s">
        <v>34</v>
      </c>
      <c r="F3681" t="str">
        <f>"0003976"</f>
        <v>0003976</v>
      </c>
      <c r="G3681">
        <v>1</v>
      </c>
      <c r="H3681" t="str">
        <f>"00000000"</f>
        <v>00000000</v>
      </c>
      <c r="I3681" t="s">
        <v>35</v>
      </c>
      <c r="J3681"/>
      <c r="K3681">
        <v>11.57</v>
      </c>
      <c r="L3681">
        <v>1.7</v>
      </c>
      <c r="M3681"/>
      <c r="N3681"/>
      <c r="O3681">
        <v>2.08</v>
      </c>
      <c r="P3681">
        <v>0.0</v>
      </c>
      <c r="Q3681">
        <v>15.35</v>
      </c>
      <c r="R3681"/>
      <c r="S3681"/>
      <c r="T3681"/>
      <c r="U3681"/>
      <c r="V3681"/>
      <c r="W3681">
        <v>18</v>
      </c>
    </row>
    <row r="3682" spans="1:23">
      <c r="A3682"/>
      <c r="B3682" t="s">
        <v>86</v>
      </c>
      <c r="C3682" t="s">
        <v>86</v>
      </c>
      <c r="D3682" t="s">
        <v>33</v>
      </c>
      <c r="E3682" t="s">
        <v>34</v>
      </c>
      <c r="F3682" t="str">
        <f>"0003977"</f>
        <v>0003977</v>
      </c>
      <c r="G3682">
        <v>1</v>
      </c>
      <c r="H3682" t="str">
        <f>"00000000"</f>
        <v>00000000</v>
      </c>
      <c r="I3682" t="s">
        <v>35</v>
      </c>
      <c r="J3682"/>
      <c r="K3682">
        <v>61.08</v>
      </c>
      <c r="L3682">
        <v>4.95</v>
      </c>
      <c r="M3682"/>
      <c r="N3682"/>
      <c r="O3682">
        <v>10.99</v>
      </c>
      <c r="P3682">
        <v>0.2</v>
      </c>
      <c r="Q3682">
        <v>77.22</v>
      </c>
      <c r="R3682"/>
      <c r="S3682"/>
      <c r="T3682"/>
      <c r="U3682"/>
      <c r="V3682"/>
      <c r="W3682">
        <v>18</v>
      </c>
    </row>
    <row r="3683" spans="1:23">
      <c r="A3683"/>
      <c r="B3683" t="s">
        <v>86</v>
      </c>
      <c r="C3683" t="s">
        <v>86</v>
      </c>
      <c r="D3683" t="s">
        <v>33</v>
      </c>
      <c r="E3683" t="s">
        <v>34</v>
      </c>
      <c r="F3683" t="str">
        <f>"0003978"</f>
        <v>0003978</v>
      </c>
      <c r="G3683">
        <v>1</v>
      </c>
      <c r="H3683" t="str">
        <f>"00000000"</f>
        <v>00000000</v>
      </c>
      <c r="I3683" t="s">
        <v>35</v>
      </c>
      <c r="J3683"/>
      <c r="K3683">
        <v>2.97</v>
      </c>
      <c r="L3683">
        <v>0.49</v>
      </c>
      <c r="M3683"/>
      <c r="N3683"/>
      <c r="O3683">
        <v>0.53</v>
      </c>
      <c r="P3683">
        <v>0.0</v>
      </c>
      <c r="Q3683">
        <v>3.99</v>
      </c>
      <c r="R3683"/>
      <c r="S3683"/>
      <c r="T3683"/>
      <c r="U3683"/>
      <c r="V3683"/>
      <c r="W3683">
        <v>18</v>
      </c>
    </row>
    <row r="3684" spans="1:23">
      <c r="A3684"/>
      <c r="B3684" t="s">
        <v>86</v>
      </c>
      <c r="C3684" t="s">
        <v>86</v>
      </c>
      <c r="D3684" t="s">
        <v>36</v>
      </c>
      <c r="E3684" t="s">
        <v>37</v>
      </c>
      <c r="F3684" t="str">
        <f>"0000050"</f>
        <v>0000050</v>
      </c>
      <c r="G3684">
        <v>6</v>
      </c>
      <c r="H3684" t="str">
        <f>"20600106831"</f>
        <v>20600106831</v>
      </c>
      <c r="I3684" t="s">
        <v>88</v>
      </c>
      <c r="J3684"/>
      <c r="K3684">
        <v>47.19</v>
      </c>
      <c r="L3684">
        <v>0.0</v>
      </c>
      <c r="M3684"/>
      <c r="N3684"/>
      <c r="O3684">
        <v>8.49</v>
      </c>
      <c r="P3684">
        <v>0.0</v>
      </c>
      <c r="Q3684">
        <v>55.68</v>
      </c>
      <c r="R3684"/>
      <c r="S3684"/>
      <c r="T3684"/>
      <c r="U3684"/>
      <c r="V3684"/>
      <c r="W3684">
        <v>18</v>
      </c>
    </row>
    <row r="3685" spans="1:23">
      <c r="A3685"/>
      <c r="B3685" t="s">
        <v>86</v>
      </c>
      <c r="C3685" t="s">
        <v>86</v>
      </c>
      <c r="D3685" t="s">
        <v>33</v>
      </c>
      <c r="E3685" t="s">
        <v>34</v>
      </c>
      <c r="F3685" t="str">
        <f>"0003979"</f>
        <v>0003979</v>
      </c>
      <c r="G3685">
        <v>1</v>
      </c>
      <c r="H3685" t="str">
        <f>"00000000"</f>
        <v>00000000</v>
      </c>
      <c r="I3685" t="s">
        <v>35</v>
      </c>
      <c r="J3685"/>
      <c r="K3685">
        <v>0.02</v>
      </c>
      <c r="L3685">
        <v>11.22</v>
      </c>
      <c r="M3685"/>
      <c r="N3685"/>
      <c r="O3685">
        <v>0.0</v>
      </c>
      <c r="P3685">
        <v>0.2</v>
      </c>
      <c r="Q3685">
        <v>11.44</v>
      </c>
      <c r="R3685"/>
      <c r="S3685"/>
      <c r="T3685"/>
      <c r="U3685"/>
      <c r="V3685"/>
      <c r="W3685">
        <v>18</v>
      </c>
    </row>
    <row r="3686" spans="1:23">
      <c r="A3686"/>
      <c r="B3686" t="s">
        <v>86</v>
      </c>
      <c r="C3686" t="s">
        <v>86</v>
      </c>
      <c r="D3686" t="s">
        <v>33</v>
      </c>
      <c r="E3686" t="s">
        <v>34</v>
      </c>
      <c r="F3686" t="str">
        <f>"0003980"</f>
        <v>0003980</v>
      </c>
      <c r="G3686">
        <v>1</v>
      </c>
      <c r="H3686" t="str">
        <f>"00000000"</f>
        <v>00000000</v>
      </c>
      <c r="I3686" t="s">
        <v>35</v>
      </c>
      <c r="J3686"/>
      <c r="K3686">
        <v>2.97</v>
      </c>
      <c r="L3686">
        <v>0.0</v>
      </c>
      <c r="M3686"/>
      <c r="N3686"/>
      <c r="O3686">
        <v>0.53</v>
      </c>
      <c r="P3686">
        <v>0.0</v>
      </c>
      <c r="Q3686">
        <v>3.5</v>
      </c>
      <c r="R3686"/>
      <c r="S3686"/>
      <c r="T3686"/>
      <c r="U3686"/>
      <c r="V3686"/>
      <c r="W3686">
        <v>18</v>
      </c>
    </row>
    <row r="3687" spans="1:23">
      <c r="A3687"/>
      <c r="B3687" t="s">
        <v>86</v>
      </c>
      <c r="C3687" t="s">
        <v>86</v>
      </c>
      <c r="D3687" t="s">
        <v>33</v>
      </c>
      <c r="E3687" t="s">
        <v>34</v>
      </c>
      <c r="F3687" t="str">
        <f>"0003981"</f>
        <v>0003981</v>
      </c>
      <c r="G3687">
        <v>1</v>
      </c>
      <c r="H3687" t="str">
        <f>"00000000"</f>
        <v>00000000</v>
      </c>
      <c r="I3687" t="s">
        <v>35</v>
      </c>
      <c r="J3687"/>
      <c r="K3687">
        <v>16.46</v>
      </c>
      <c r="L3687">
        <v>0.0</v>
      </c>
      <c r="M3687"/>
      <c r="N3687"/>
      <c r="O3687">
        <v>2.96</v>
      </c>
      <c r="P3687">
        <v>0.2</v>
      </c>
      <c r="Q3687">
        <v>19.62</v>
      </c>
      <c r="R3687"/>
      <c r="S3687"/>
      <c r="T3687"/>
      <c r="U3687"/>
      <c r="V3687"/>
      <c r="W3687">
        <v>18</v>
      </c>
    </row>
    <row r="3688" spans="1:23">
      <c r="A3688"/>
      <c r="B3688" t="s">
        <v>86</v>
      </c>
      <c r="C3688" t="s">
        <v>86</v>
      </c>
      <c r="D3688" t="s">
        <v>33</v>
      </c>
      <c r="E3688" t="s">
        <v>34</v>
      </c>
      <c r="F3688" t="str">
        <f>"0003982"</f>
        <v>0003982</v>
      </c>
      <c r="G3688">
        <v>1</v>
      </c>
      <c r="H3688" t="str">
        <f>"00000000"</f>
        <v>00000000</v>
      </c>
      <c r="I3688" t="s">
        <v>35</v>
      </c>
      <c r="J3688"/>
      <c r="K3688">
        <v>12.46</v>
      </c>
      <c r="L3688">
        <v>0.0</v>
      </c>
      <c r="M3688"/>
      <c r="N3688"/>
      <c r="O3688">
        <v>2.24</v>
      </c>
      <c r="P3688">
        <v>0.0</v>
      </c>
      <c r="Q3688">
        <v>14.7</v>
      </c>
      <c r="R3688"/>
      <c r="S3688"/>
      <c r="T3688"/>
      <c r="U3688"/>
      <c r="V3688"/>
      <c r="W3688">
        <v>18</v>
      </c>
    </row>
    <row r="3689" spans="1:23">
      <c r="A3689"/>
      <c r="B3689" t="s">
        <v>86</v>
      </c>
      <c r="C3689" t="s">
        <v>86</v>
      </c>
      <c r="D3689" t="s">
        <v>33</v>
      </c>
      <c r="E3689" t="s">
        <v>34</v>
      </c>
      <c r="F3689" t="str">
        <f>"0003983"</f>
        <v>0003983</v>
      </c>
      <c r="G3689">
        <v>1</v>
      </c>
      <c r="H3689" t="str">
        <f>"00000000"</f>
        <v>00000000</v>
      </c>
      <c r="I3689" t="s">
        <v>35</v>
      </c>
      <c r="J3689"/>
      <c r="K3689">
        <v>1.02</v>
      </c>
      <c r="L3689">
        <v>0.0</v>
      </c>
      <c r="M3689"/>
      <c r="N3689"/>
      <c r="O3689">
        <v>0.18</v>
      </c>
      <c r="P3689">
        <v>0.0</v>
      </c>
      <c r="Q3689">
        <v>1.2</v>
      </c>
      <c r="R3689"/>
      <c r="S3689"/>
      <c r="T3689"/>
      <c r="U3689"/>
      <c r="V3689"/>
      <c r="W3689">
        <v>18</v>
      </c>
    </row>
    <row r="3690" spans="1:23">
      <c r="A3690"/>
      <c r="B3690" t="s">
        <v>86</v>
      </c>
      <c r="C3690" t="s">
        <v>86</v>
      </c>
      <c r="D3690" t="s">
        <v>33</v>
      </c>
      <c r="E3690" t="s">
        <v>34</v>
      </c>
      <c r="F3690" t="str">
        <f>"0003984"</f>
        <v>0003984</v>
      </c>
      <c r="G3690">
        <v>1</v>
      </c>
      <c r="H3690" t="str">
        <f>"00000000"</f>
        <v>00000000</v>
      </c>
      <c r="I3690" t="s">
        <v>35</v>
      </c>
      <c r="J3690"/>
      <c r="K3690">
        <v>7.63</v>
      </c>
      <c r="L3690">
        <v>0.0</v>
      </c>
      <c r="M3690"/>
      <c r="N3690"/>
      <c r="O3690">
        <v>1.37</v>
      </c>
      <c r="P3690">
        <v>0.0</v>
      </c>
      <c r="Q3690">
        <v>9.0</v>
      </c>
      <c r="R3690"/>
      <c r="S3690"/>
      <c r="T3690"/>
      <c r="U3690"/>
      <c r="V3690"/>
      <c r="W3690">
        <v>18</v>
      </c>
    </row>
    <row r="3691" spans="1:23">
      <c r="A3691"/>
      <c r="B3691" t="s">
        <v>86</v>
      </c>
      <c r="C3691" t="s">
        <v>86</v>
      </c>
      <c r="D3691" t="s">
        <v>33</v>
      </c>
      <c r="E3691" t="s">
        <v>34</v>
      </c>
      <c r="F3691" t="str">
        <f>"0003985"</f>
        <v>0003985</v>
      </c>
      <c r="G3691">
        <v>1</v>
      </c>
      <c r="H3691" t="str">
        <f>"00000000"</f>
        <v>00000000</v>
      </c>
      <c r="I3691" t="s">
        <v>35</v>
      </c>
      <c r="J3691"/>
      <c r="K3691">
        <v>1.29</v>
      </c>
      <c r="L3691">
        <v>0.0</v>
      </c>
      <c r="M3691"/>
      <c r="N3691"/>
      <c r="O3691">
        <v>0.23</v>
      </c>
      <c r="P3691">
        <v>0.2</v>
      </c>
      <c r="Q3691">
        <v>1.72</v>
      </c>
      <c r="R3691"/>
      <c r="S3691"/>
      <c r="T3691"/>
      <c r="U3691"/>
      <c r="V3691"/>
      <c r="W3691">
        <v>18</v>
      </c>
    </row>
    <row r="3692" spans="1:23">
      <c r="A3692"/>
      <c r="B3692" t="s">
        <v>86</v>
      </c>
      <c r="C3692" t="s">
        <v>86</v>
      </c>
      <c r="D3692" t="s">
        <v>33</v>
      </c>
      <c r="E3692" t="s">
        <v>34</v>
      </c>
      <c r="F3692" t="str">
        <f>"0003986"</f>
        <v>0003986</v>
      </c>
      <c r="G3692">
        <v>1</v>
      </c>
      <c r="H3692" t="str">
        <f>"00000000"</f>
        <v>00000000</v>
      </c>
      <c r="I3692" t="s">
        <v>35</v>
      </c>
      <c r="J3692"/>
      <c r="K3692">
        <v>7.63</v>
      </c>
      <c r="L3692">
        <v>0.0</v>
      </c>
      <c r="M3692"/>
      <c r="N3692"/>
      <c r="O3692">
        <v>1.37</v>
      </c>
      <c r="P3692">
        <v>0.0</v>
      </c>
      <c r="Q3692">
        <v>9.0</v>
      </c>
      <c r="R3692"/>
      <c r="S3692"/>
      <c r="T3692"/>
      <c r="U3692"/>
      <c r="V3692"/>
      <c r="W3692">
        <v>18</v>
      </c>
    </row>
    <row r="3693" spans="1:23">
      <c r="A3693"/>
      <c r="B3693" t="s">
        <v>86</v>
      </c>
      <c r="C3693" t="s">
        <v>86</v>
      </c>
      <c r="D3693" t="s">
        <v>33</v>
      </c>
      <c r="E3693" t="s">
        <v>34</v>
      </c>
      <c r="F3693" t="str">
        <f>"0003987"</f>
        <v>0003987</v>
      </c>
      <c r="G3693">
        <v>1</v>
      </c>
      <c r="H3693" t="str">
        <f>"00000000"</f>
        <v>00000000</v>
      </c>
      <c r="I3693" t="s">
        <v>35</v>
      </c>
      <c r="J3693"/>
      <c r="K3693">
        <v>13.5</v>
      </c>
      <c r="L3693">
        <v>2.11</v>
      </c>
      <c r="M3693"/>
      <c r="N3693"/>
      <c r="O3693">
        <v>2.43</v>
      </c>
      <c r="P3693">
        <v>0.0</v>
      </c>
      <c r="Q3693">
        <v>18.03</v>
      </c>
      <c r="R3693"/>
      <c r="S3693"/>
      <c r="T3693"/>
      <c r="U3693"/>
      <c r="V3693"/>
      <c r="W3693">
        <v>18</v>
      </c>
    </row>
    <row r="3694" spans="1:23">
      <c r="A3694"/>
      <c r="B3694" t="s">
        <v>86</v>
      </c>
      <c r="C3694" t="s">
        <v>86</v>
      </c>
      <c r="D3694" t="s">
        <v>33</v>
      </c>
      <c r="E3694" t="s">
        <v>34</v>
      </c>
      <c r="F3694" t="str">
        <f>"0003988"</f>
        <v>0003988</v>
      </c>
      <c r="G3694">
        <v>1</v>
      </c>
      <c r="H3694" t="str">
        <f>"00000000"</f>
        <v>00000000</v>
      </c>
      <c r="I3694" t="s">
        <v>35</v>
      </c>
      <c r="J3694"/>
      <c r="K3694">
        <v>0.85</v>
      </c>
      <c r="L3694">
        <v>0.0</v>
      </c>
      <c r="M3694"/>
      <c r="N3694"/>
      <c r="O3694">
        <v>0.15</v>
      </c>
      <c r="P3694">
        <v>0.0</v>
      </c>
      <c r="Q3694">
        <v>1.0</v>
      </c>
      <c r="R3694"/>
      <c r="S3694"/>
      <c r="T3694"/>
      <c r="U3694"/>
      <c r="V3694"/>
      <c r="W3694">
        <v>18</v>
      </c>
    </row>
    <row r="3695" spans="1:23">
      <c r="A3695"/>
      <c r="B3695" t="s">
        <v>86</v>
      </c>
      <c r="C3695" t="s">
        <v>86</v>
      </c>
      <c r="D3695" t="s">
        <v>33</v>
      </c>
      <c r="E3695" t="s">
        <v>34</v>
      </c>
      <c r="F3695" t="str">
        <f>"0003989"</f>
        <v>0003989</v>
      </c>
      <c r="G3695">
        <v>1</v>
      </c>
      <c r="H3695" t="str">
        <f>"00000000"</f>
        <v>00000000</v>
      </c>
      <c r="I3695" t="s">
        <v>35</v>
      </c>
      <c r="J3695"/>
      <c r="K3695">
        <v>3.14</v>
      </c>
      <c r="L3695">
        <v>0.0</v>
      </c>
      <c r="M3695"/>
      <c r="N3695"/>
      <c r="O3695">
        <v>0.56</v>
      </c>
      <c r="P3695">
        <v>0.0</v>
      </c>
      <c r="Q3695">
        <v>3.7</v>
      </c>
      <c r="R3695"/>
      <c r="S3695"/>
      <c r="T3695"/>
      <c r="U3695"/>
      <c r="V3695"/>
      <c r="W3695">
        <v>18</v>
      </c>
    </row>
    <row r="3696" spans="1:23">
      <c r="A3696"/>
      <c r="B3696" t="s">
        <v>86</v>
      </c>
      <c r="C3696" t="s">
        <v>86</v>
      </c>
      <c r="D3696" t="s">
        <v>33</v>
      </c>
      <c r="E3696" t="s">
        <v>34</v>
      </c>
      <c r="F3696" t="str">
        <f>"0003990"</f>
        <v>0003990</v>
      </c>
      <c r="G3696">
        <v>1</v>
      </c>
      <c r="H3696" t="str">
        <f>"00000000"</f>
        <v>00000000</v>
      </c>
      <c r="I3696" t="s">
        <v>35</v>
      </c>
      <c r="J3696"/>
      <c r="K3696">
        <v>0.0</v>
      </c>
      <c r="L3696">
        <v>1.9</v>
      </c>
      <c r="M3696"/>
      <c r="N3696"/>
      <c r="O3696">
        <v>0.0</v>
      </c>
      <c r="P3696">
        <v>0.0</v>
      </c>
      <c r="Q3696">
        <v>1.9</v>
      </c>
      <c r="R3696"/>
      <c r="S3696"/>
      <c r="T3696"/>
      <c r="U3696"/>
      <c r="V3696"/>
      <c r="W3696">
        <v>18</v>
      </c>
    </row>
    <row r="3697" spans="1:23">
      <c r="A3697"/>
      <c r="B3697" t="s">
        <v>86</v>
      </c>
      <c r="C3697" t="s">
        <v>86</v>
      </c>
      <c r="D3697" t="s">
        <v>33</v>
      </c>
      <c r="E3697" t="s">
        <v>34</v>
      </c>
      <c r="F3697" t="str">
        <f>"0003991"</f>
        <v>0003991</v>
      </c>
      <c r="G3697">
        <v>1</v>
      </c>
      <c r="H3697" t="str">
        <f>"00000000"</f>
        <v>00000000</v>
      </c>
      <c r="I3697" t="s">
        <v>35</v>
      </c>
      <c r="J3697"/>
      <c r="K3697">
        <v>7.47</v>
      </c>
      <c r="L3697">
        <v>0.0</v>
      </c>
      <c r="M3697"/>
      <c r="N3697"/>
      <c r="O3697">
        <v>1.35</v>
      </c>
      <c r="P3697">
        <v>0.2</v>
      </c>
      <c r="Q3697">
        <v>9.02</v>
      </c>
      <c r="R3697"/>
      <c r="S3697"/>
      <c r="T3697"/>
      <c r="U3697"/>
      <c r="V3697"/>
      <c r="W3697">
        <v>18</v>
      </c>
    </row>
    <row r="3698" spans="1:23">
      <c r="A3698"/>
      <c r="B3698" t="s">
        <v>86</v>
      </c>
      <c r="C3698" t="s">
        <v>86</v>
      </c>
      <c r="D3698" t="s">
        <v>33</v>
      </c>
      <c r="E3698" t="s">
        <v>34</v>
      </c>
      <c r="F3698" t="str">
        <f>"0003992"</f>
        <v>0003992</v>
      </c>
      <c r="G3698">
        <v>1</v>
      </c>
      <c r="H3698" t="str">
        <f>"00000000"</f>
        <v>00000000</v>
      </c>
      <c r="I3698" t="s">
        <v>35</v>
      </c>
      <c r="J3698"/>
      <c r="K3698">
        <v>7.2</v>
      </c>
      <c r="L3698">
        <v>0.0</v>
      </c>
      <c r="M3698"/>
      <c r="N3698"/>
      <c r="O3698">
        <v>1.3</v>
      </c>
      <c r="P3698">
        <v>0.0</v>
      </c>
      <c r="Q3698">
        <v>8.5</v>
      </c>
      <c r="R3698"/>
      <c r="S3698"/>
      <c r="T3698"/>
      <c r="U3698"/>
      <c r="V3698"/>
      <c r="W3698">
        <v>18</v>
      </c>
    </row>
    <row r="3699" spans="1:23">
      <c r="A3699"/>
      <c r="B3699" t="s">
        <v>86</v>
      </c>
      <c r="C3699" t="s">
        <v>86</v>
      </c>
      <c r="D3699" t="s">
        <v>33</v>
      </c>
      <c r="E3699" t="s">
        <v>34</v>
      </c>
      <c r="F3699" t="str">
        <f>"0003993"</f>
        <v>0003993</v>
      </c>
      <c r="G3699">
        <v>1</v>
      </c>
      <c r="H3699" t="str">
        <f>"00000000"</f>
        <v>00000000</v>
      </c>
      <c r="I3699" t="s">
        <v>35</v>
      </c>
      <c r="J3699"/>
      <c r="K3699">
        <v>52.26</v>
      </c>
      <c r="L3699">
        <v>6.45</v>
      </c>
      <c r="M3699"/>
      <c r="N3699"/>
      <c r="O3699">
        <v>9.41</v>
      </c>
      <c r="P3699">
        <v>0.4</v>
      </c>
      <c r="Q3699">
        <v>68.52</v>
      </c>
      <c r="R3699"/>
      <c r="S3699"/>
      <c r="T3699"/>
      <c r="U3699"/>
      <c r="V3699"/>
      <c r="W3699">
        <v>18</v>
      </c>
    </row>
    <row r="3700" spans="1:23">
      <c r="A3700"/>
      <c r="B3700" t="s">
        <v>86</v>
      </c>
      <c r="C3700" t="s">
        <v>86</v>
      </c>
      <c r="D3700" t="s">
        <v>33</v>
      </c>
      <c r="E3700" t="s">
        <v>34</v>
      </c>
      <c r="F3700" t="str">
        <f>"0003994"</f>
        <v>0003994</v>
      </c>
      <c r="G3700">
        <v>1</v>
      </c>
      <c r="H3700" t="str">
        <f>"00000000"</f>
        <v>00000000</v>
      </c>
      <c r="I3700" t="s">
        <v>35</v>
      </c>
      <c r="J3700"/>
      <c r="K3700">
        <v>3.83</v>
      </c>
      <c r="L3700">
        <v>2.97</v>
      </c>
      <c r="M3700"/>
      <c r="N3700"/>
      <c r="O3700">
        <v>0.69</v>
      </c>
      <c r="P3700">
        <v>0.2</v>
      </c>
      <c r="Q3700">
        <v>7.69</v>
      </c>
      <c r="R3700"/>
      <c r="S3700"/>
      <c r="T3700"/>
      <c r="U3700"/>
      <c r="V3700"/>
      <c r="W3700">
        <v>18</v>
      </c>
    </row>
    <row r="3701" spans="1:23">
      <c r="A3701"/>
      <c r="B3701" t="s">
        <v>86</v>
      </c>
      <c r="C3701" t="s">
        <v>86</v>
      </c>
      <c r="D3701" t="s">
        <v>33</v>
      </c>
      <c r="E3701" t="s">
        <v>34</v>
      </c>
      <c r="F3701" t="str">
        <f>"0003995"</f>
        <v>0003995</v>
      </c>
      <c r="G3701">
        <v>1</v>
      </c>
      <c r="H3701" t="str">
        <f>"00000000"</f>
        <v>00000000</v>
      </c>
      <c r="I3701" t="s">
        <v>35</v>
      </c>
      <c r="J3701"/>
      <c r="K3701">
        <v>0.0</v>
      </c>
      <c r="L3701">
        <v>1.13</v>
      </c>
      <c r="M3701"/>
      <c r="N3701"/>
      <c r="O3701">
        <v>0.0</v>
      </c>
      <c r="P3701">
        <v>0.0</v>
      </c>
      <c r="Q3701">
        <v>1.13</v>
      </c>
      <c r="R3701"/>
      <c r="S3701"/>
      <c r="T3701"/>
      <c r="U3701"/>
      <c r="V3701"/>
      <c r="W3701">
        <v>18</v>
      </c>
    </row>
    <row r="3702" spans="1:23">
      <c r="A3702"/>
      <c r="B3702" t="s">
        <v>86</v>
      </c>
      <c r="C3702" t="s">
        <v>86</v>
      </c>
      <c r="D3702" t="s">
        <v>33</v>
      </c>
      <c r="E3702" t="s">
        <v>34</v>
      </c>
      <c r="F3702" t="str">
        <f>"0003996"</f>
        <v>0003996</v>
      </c>
      <c r="G3702">
        <v>1</v>
      </c>
      <c r="H3702" t="str">
        <f>"00000000"</f>
        <v>00000000</v>
      </c>
      <c r="I3702" t="s">
        <v>35</v>
      </c>
      <c r="J3702"/>
      <c r="K3702">
        <v>36.46</v>
      </c>
      <c r="L3702">
        <v>0.0</v>
      </c>
      <c r="M3702"/>
      <c r="N3702"/>
      <c r="O3702">
        <v>6.56</v>
      </c>
      <c r="P3702">
        <v>0.2</v>
      </c>
      <c r="Q3702">
        <v>43.22</v>
      </c>
      <c r="R3702"/>
      <c r="S3702"/>
      <c r="T3702"/>
      <c r="U3702"/>
      <c r="V3702"/>
      <c r="W3702">
        <v>18</v>
      </c>
    </row>
    <row r="3703" spans="1:23">
      <c r="A3703"/>
      <c r="B3703" t="s">
        <v>86</v>
      </c>
      <c r="C3703" t="s">
        <v>86</v>
      </c>
      <c r="D3703" t="s">
        <v>33</v>
      </c>
      <c r="E3703" t="s">
        <v>34</v>
      </c>
      <c r="F3703" t="str">
        <f>"0003997"</f>
        <v>0003997</v>
      </c>
      <c r="G3703">
        <v>1</v>
      </c>
      <c r="H3703" t="str">
        <f>"00000000"</f>
        <v>00000000</v>
      </c>
      <c r="I3703" t="s">
        <v>35</v>
      </c>
      <c r="J3703"/>
      <c r="K3703">
        <v>0.02</v>
      </c>
      <c r="L3703">
        <v>0.0</v>
      </c>
      <c r="M3703"/>
      <c r="N3703"/>
      <c r="O3703">
        <v>0.0</v>
      </c>
      <c r="P3703">
        <v>0.2</v>
      </c>
      <c r="Q3703">
        <v>0.22</v>
      </c>
      <c r="R3703"/>
      <c r="S3703"/>
      <c r="T3703"/>
      <c r="U3703"/>
      <c r="V3703"/>
      <c r="W3703">
        <v>18</v>
      </c>
    </row>
    <row r="3704" spans="1:23">
      <c r="A3704"/>
      <c r="B3704" t="s">
        <v>86</v>
      </c>
      <c r="C3704" t="s">
        <v>86</v>
      </c>
      <c r="D3704" t="s">
        <v>33</v>
      </c>
      <c r="E3704" t="s">
        <v>34</v>
      </c>
      <c r="F3704" t="str">
        <f>"0003998"</f>
        <v>0003998</v>
      </c>
      <c r="G3704">
        <v>1</v>
      </c>
      <c r="H3704" t="str">
        <f>"00000000"</f>
        <v>00000000</v>
      </c>
      <c r="I3704" t="s">
        <v>35</v>
      </c>
      <c r="J3704"/>
      <c r="K3704">
        <v>40.53</v>
      </c>
      <c r="L3704">
        <v>0.0</v>
      </c>
      <c r="M3704"/>
      <c r="N3704"/>
      <c r="O3704">
        <v>7.29</v>
      </c>
      <c r="P3704">
        <v>0.2</v>
      </c>
      <c r="Q3704">
        <v>48.02</v>
      </c>
      <c r="R3704"/>
      <c r="S3704"/>
      <c r="T3704"/>
      <c r="U3704"/>
      <c r="V3704"/>
      <c r="W3704">
        <v>18</v>
      </c>
    </row>
    <row r="3705" spans="1:23">
      <c r="A3705"/>
      <c r="B3705" t="s">
        <v>86</v>
      </c>
      <c r="C3705" t="s">
        <v>86</v>
      </c>
      <c r="D3705" t="s">
        <v>33</v>
      </c>
      <c r="E3705" t="s">
        <v>34</v>
      </c>
      <c r="F3705" t="str">
        <f>"0003999"</f>
        <v>0003999</v>
      </c>
      <c r="G3705">
        <v>1</v>
      </c>
      <c r="H3705" t="str">
        <f>"00000000"</f>
        <v>00000000</v>
      </c>
      <c r="I3705" t="s">
        <v>35</v>
      </c>
      <c r="J3705"/>
      <c r="K3705">
        <v>15.84</v>
      </c>
      <c r="L3705">
        <v>5.83</v>
      </c>
      <c r="M3705"/>
      <c r="N3705"/>
      <c r="O3705">
        <v>2.85</v>
      </c>
      <c r="P3705">
        <v>0.2</v>
      </c>
      <c r="Q3705">
        <v>24.72</v>
      </c>
      <c r="R3705"/>
      <c r="S3705"/>
      <c r="T3705"/>
      <c r="U3705"/>
      <c r="V3705"/>
      <c r="W3705">
        <v>18</v>
      </c>
    </row>
    <row r="3706" spans="1:23">
      <c r="A3706"/>
      <c r="B3706" t="s">
        <v>86</v>
      </c>
      <c r="C3706" t="s">
        <v>86</v>
      </c>
      <c r="D3706" t="s">
        <v>33</v>
      </c>
      <c r="E3706" t="s">
        <v>34</v>
      </c>
      <c r="F3706" t="str">
        <f>"0004000"</f>
        <v>0004000</v>
      </c>
      <c r="G3706">
        <v>1</v>
      </c>
      <c r="H3706" t="str">
        <f>"00000000"</f>
        <v>00000000</v>
      </c>
      <c r="I3706" t="s">
        <v>35</v>
      </c>
      <c r="J3706"/>
      <c r="K3706">
        <v>12.56</v>
      </c>
      <c r="L3706">
        <v>0.0</v>
      </c>
      <c r="M3706"/>
      <c r="N3706"/>
      <c r="O3706">
        <v>2.26</v>
      </c>
      <c r="P3706">
        <v>0.2</v>
      </c>
      <c r="Q3706">
        <v>15.02</v>
      </c>
      <c r="R3706"/>
      <c r="S3706"/>
      <c r="T3706"/>
      <c r="U3706"/>
      <c r="V3706"/>
      <c r="W3706">
        <v>18</v>
      </c>
    </row>
    <row r="3707" spans="1:23">
      <c r="A3707"/>
      <c r="B3707" t="s">
        <v>86</v>
      </c>
      <c r="C3707" t="s">
        <v>86</v>
      </c>
      <c r="D3707" t="s">
        <v>33</v>
      </c>
      <c r="E3707" t="s">
        <v>34</v>
      </c>
      <c r="F3707" t="str">
        <f>"0004001"</f>
        <v>0004001</v>
      </c>
      <c r="G3707">
        <v>1</v>
      </c>
      <c r="H3707" t="str">
        <f>"00000000"</f>
        <v>00000000</v>
      </c>
      <c r="I3707" t="s">
        <v>35</v>
      </c>
      <c r="J3707"/>
      <c r="K3707">
        <v>12.46</v>
      </c>
      <c r="L3707">
        <v>0.0</v>
      </c>
      <c r="M3707"/>
      <c r="N3707"/>
      <c r="O3707">
        <v>2.24</v>
      </c>
      <c r="P3707">
        <v>0.0</v>
      </c>
      <c r="Q3707">
        <v>14.7</v>
      </c>
      <c r="R3707"/>
      <c r="S3707"/>
      <c r="T3707"/>
      <c r="U3707"/>
      <c r="V3707"/>
      <c r="W3707">
        <v>18</v>
      </c>
    </row>
    <row r="3708" spans="1:23">
      <c r="A3708"/>
      <c r="B3708" t="s">
        <v>86</v>
      </c>
      <c r="C3708" t="s">
        <v>86</v>
      </c>
      <c r="D3708" t="s">
        <v>33</v>
      </c>
      <c r="E3708" t="s">
        <v>34</v>
      </c>
      <c r="F3708" t="str">
        <f>"0004002"</f>
        <v>0004002</v>
      </c>
      <c r="G3708">
        <v>1</v>
      </c>
      <c r="H3708" t="str">
        <f>"00000000"</f>
        <v>00000000</v>
      </c>
      <c r="I3708" t="s">
        <v>35</v>
      </c>
      <c r="J3708"/>
      <c r="K3708">
        <v>5.59</v>
      </c>
      <c r="L3708">
        <v>2.72</v>
      </c>
      <c r="M3708"/>
      <c r="N3708"/>
      <c r="O3708">
        <v>1.01</v>
      </c>
      <c r="P3708">
        <v>0.0</v>
      </c>
      <c r="Q3708">
        <v>9.32</v>
      </c>
      <c r="R3708"/>
      <c r="S3708"/>
      <c r="T3708"/>
      <c r="U3708"/>
      <c r="V3708"/>
      <c r="W3708">
        <v>18</v>
      </c>
    </row>
    <row r="3709" spans="1:23">
      <c r="A3709"/>
      <c r="B3709" t="s">
        <v>86</v>
      </c>
      <c r="C3709" t="s">
        <v>86</v>
      </c>
      <c r="D3709" t="s">
        <v>33</v>
      </c>
      <c r="E3709" t="s">
        <v>34</v>
      </c>
      <c r="F3709" t="str">
        <f>"0004003"</f>
        <v>0004003</v>
      </c>
      <c r="G3709">
        <v>1</v>
      </c>
      <c r="H3709" t="str">
        <f>"00000000"</f>
        <v>00000000</v>
      </c>
      <c r="I3709" t="s">
        <v>35</v>
      </c>
      <c r="J3709"/>
      <c r="K3709">
        <v>21.19</v>
      </c>
      <c r="L3709">
        <v>0.0</v>
      </c>
      <c r="M3709"/>
      <c r="N3709"/>
      <c r="O3709">
        <v>3.81</v>
      </c>
      <c r="P3709">
        <v>0.0</v>
      </c>
      <c r="Q3709">
        <v>25.0</v>
      </c>
      <c r="R3709"/>
      <c r="S3709"/>
      <c r="T3709"/>
      <c r="U3709"/>
      <c r="V3709"/>
      <c r="W3709">
        <v>18</v>
      </c>
    </row>
    <row r="3710" spans="1:23">
      <c r="A3710"/>
      <c r="B3710" t="s">
        <v>86</v>
      </c>
      <c r="C3710" t="s">
        <v>86</v>
      </c>
      <c r="D3710" t="s">
        <v>33</v>
      </c>
      <c r="E3710" t="s">
        <v>34</v>
      </c>
      <c r="F3710" t="str">
        <f>"0004004"</f>
        <v>0004004</v>
      </c>
      <c r="G3710">
        <v>1</v>
      </c>
      <c r="H3710" t="str">
        <f>"00000000"</f>
        <v>00000000</v>
      </c>
      <c r="I3710" t="s">
        <v>35</v>
      </c>
      <c r="J3710"/>
      <c r="K3710">
        <v>23.92</v>
      </c>
      <c r="L3710">
        <v>6.3</v>
      </c>
      <c r="M3710"/>
      <c r="N3710"/>
      <c r="O3710">
        <v>4.3</v>
      </c>
      <c r="P3710">
        <v>0.2</v>
      </c>
      <c r="Q3710">
        <v>34.72</v>
      </c>
      <c r="R3710"/>
      <c r="S3710"/>
      <c r="T3710"/>
      <c r="U3710"/>
      <c r="V3710"/>
      <c r="W3710">
        <v>18</v>
      </c>
    </row>
    <row r="3711" spans="1:23">
      <c r="A3711"/>
      <c r="B3711" t="s">
        <v>86</v>
      </c>
      <c r="C3711" t="s">
        <v>86</v>
      </c>
      <c r="D3711" t="s">
        <v>33</v>
      </c>
      <c r="E3711" t="s">
        <v>34</v>
      </c>
      <c r="F3711" t="str">
        <f>"0004005"</f>
        <v>0004005</v>
      </c>
      <c r="G3711">
        <v>1</v>
      </c>
      <c r="H3711" t="str">
        <f>"00000000"</f>
        <v>00000000</v>
      </c>
      <c r="I3711" t="s">
        <v>35</v>
      </c>
      <c r="J3711"/>
      <c r="K3711">
        <v>46.79</v>
      </c>
      <c r="L3711">
        <v>7.87</v>
      </c>
      <c r="M3711"/>
      <c r="N3711"/>
      <c r="O3711">
        <v>8.42</v>
      </c>
      <c r="P3711">
        <v>0.2</v>
      </c>
      <c r="Q3711">
        <v>63.28</v>
      </c>
      <c r="R3711"/>
      <c r="S3711"/>
      <c r="T3711"/>
      <c r="U3711"/>
      <c r="V3711"/>
      <c r="W3711">
        <v>18</v>
      </c>
    </row>
    <row r="3712" spans="1:23">
      <c r="A3712"/>
      <c r="B3712" t="s">
        <v>86</v>
      </c>
      <c r="C3712" t="s">
        <v>86</v>
      </c>
      <c r="D3712" t="s">
        <v>33</v>
      </c>
      <c r="E3712" t="s">
        <v>34</v>
      </c>
      <c r="F3712" t="str">
        <f>"0004006"</f>
        <v>0004006</v>
      </c>
      <c r="G3712">
        <v>1</v>
      </c>
      <c r="H3712" t="str">
        <f>"00000000"</f>
        <v>00000000</v>
      </c>
      <c r="I3712" t="s">
        <v>35</v>
      </c>
      <c r="J3712"/>
      <c r="K3712">
        <v>15.5</v>
      </c>
      <c r="L3712">
        <v>0.0</v>
      </c>
      <c r="M3712"/>
      <c r="N3712"/>
      <c r="O3712">
        <v>2.79</v>
      </c>
      <c r="P3712">
        <v>0.0</v>
      </c>
      <c r="Q3712">
        <v>18.29</v>
      </c>
      <c r="R3712"/>
      <c r="S3712"/>
      <c r="T3712"/>
      <c r="U3712"/>
      <c r="V3712"/>
      <c r="W3712">
        <v>18</v>
      </c>
    </row>
    <row r="3713" spans="1:23">
      <c r="A3713"/>
      <c r="B3713" t="s">
        <v>86</v>
      </c>
      <c r="C3713" t="s">
        <v>86</v>
      </c>
      <c r="D3713" t="s">
        <v>33</v>
      </c>
      <c r="E3713" t="s">
        <v>34</v>
      </c>
      <c r="F3713" t="str">
        <f>"0004007"</f>
        <v>0004007</v>
      </c>
      <c r="G3713">
        <v>1</v>
      </c>
      <c r="H3713" t="str">
        <f>"00000000"</f>
        <v>00000000</v>
      </c>
      <c r="I3713" t="s">
        <v>35</v>
      </c>
      <c r="J3713"/>
      <c r="K3713">
        <v>10.24</v>
      </c>
      <c r="L3713">
        <v>2.78</v>
      </c>
      <c r="M3713"/>
      <c r="N3713"/>
      <c r="O3713">
        <v>1.84</v>
      </c>
      <c r="P3713">
        <v>0.2</v>
      </c>
      <c r="Q3713">
        <v>15.05</v>
      </c>
      <c r="R3713"/>
      <c r="S3713"/>
      <c r="T3713"/>
      <c r="U3713"/>
      <c r="V3713"/>
      <c r="W3713">
        <v>18</v>
      </c>
    </row>
    <row r="3714" spans="1:23">
      <c r="A3714"/>
      <c r="B3714" t="s">
        <v>86</v>
      </c>
      <c r="C3714" t="s">
        <v>86</v>
      </c>
      <c r="D3714" t="s">
        <v>33</v>
      </c>
      <c r="E3714" t="s">
        <v>34</v>
      </c>
      <c r="F3714" t="str">
        <f>"0004008"</f>
        <v>0004008</v>
      </c>
      <c r="G3714">
        <v>1</v>
      </c>
      <c r="H3714" t="str">
        <f>"00000000"</f>
        <v>00000000</v>
      </c>
      <c r="I3714" t="s">
        <v>35</v>
      </c>
      <c r="J3714"/>
      <c r="K3714">
        <v>47.54</v>
      </c>
      <c r="L3714">
        <v>0.0</v>
      </c>
      <c r="M3714"/>
      <c r="N3714"/>
      <c r="O3714">
        <v>8.56</v>
      </c>
      <c r="P3714">
        <v>0.0</v>
      </c>
      <c r="Q3714">
        <v>56.1</v>
      </c>
      <c r="R3714"/>
      <c r="S3714"/>
      <c r="T3714"/>
      <c r="U3714"/>
      <c r="V3714"/>
      <c r="W3714">
        <v>18</v>
      </c>
    </row>
    <row r="3715" spans="1:23">
      <c r="A3715"/>
      <c r="B3715" t="s">
        <v>86</v>
      </c>
      <c r="C3715" t="s">
        <v>86</v>
      </c>
      <c r="D3715" t="s">
        <v>33</v>
      </c>
      <c r="E3715" t="s">
        <v>34</v>
      </c>
      <c r="F3715" t="str">
        <f>"0004009"</f>
        <v>0004009</v>
      </c>
      <c r="G3715">
        <v>1</v>
      </c>
      <c r="H3715" t="str">
        <f>"00000000"</f>
        <v>00000000</v>
      </c>
      <c r="I3715" t="s">
        <v>35</v>
      </c>
      <c r="J3715"/>
      <c r="K3715">
        <v>0.03</v>
      </c>
      <c r="L3715">
        <v>0.0</v>
      </c>
      <c r="M3715"/>
      <c r="N3715"/>
      <c r="O3715">
        <v>0.01</v>
      </c>
      <c r="P3715">
        <v>0.4</v>
      </c>
      <c r="Q3715">
        <v>0.44</v>
      </c>
      <c r="R3715"/>
      <c r="S3715"/>
      <c r="T3715"/>
      <c r="U3715"/>
      <c r="V3715"/>
      <c r="W3715">
        <v>18</v>
      </c>
    </row>
    <row r="3716" spans="1:23">
      <c r="A3716"/>
      <c r="B3716" t="s">
        <v>86</v>
      </c>
      <c r="C3716" t="s">
        <v>86</v>
      </c>
      <c r="D3716" t="s">
        <v>33</v>
      </c>
      <c r="E3716" t="s">
        <v>34</v>
      </c>
      <c r="F3716" t="str">
        <f>"0004010"</f>
        <v>0004010</v>
      </c>
      <c r="G3716">
        <v>1</v>
      </c>
      <c r="H3716" t="str">
        <f>"00000000"</f>
        <v>00000000</v>
      </c>
      <c r="I3716" t="s">
        <v>35</v>
      </c>
      <c r="J3716"/>
      <c r="K3716">
        <v>2.82</v>
      </c>
      <c r="L3716">
        <v>30.6</v>
      </c>
      <c r="M3716"/>
      <c r="N3716"/>
      <c r="O3716">
        <v>0.51</v>
      </c>
      <c r="P3716">
        <v>0.0</v>
      </c>
      <c r="Q3716">
        <v>33.93</v>
      </c>
      <c r="R3716"/>
      <c r="S3716"/>
      <c r="T3716"/>
      <c r="U3716"/>
      <c r="V3716"/>
      <c r="W3716">
        <v>18</v>
      </c>
    </row>
    <row r="3717" spans="1:23">
      <c r="A3717"/>
      <c r="B3717" t="s">
        <v>86</v>
      </c>
      <c r="C3717" t="s">
        <v>86</v>
      </c>
      <c r="D3717" t="s">
        <v>33</v>
      </c>
      <c r="E3717" t="s">
        <v>34</v>
      </c>
      <c r="F3717" t="str">
        <f>"0004011"</f>
        <v>0004011</v>
      </c>
      <c r="G3717">
        <v>1</v>
      </c>
      <c r="H3717" t="str">
        <f>"00000000"</f>
        <v>00000000</v>
      </c>
      <c r="I3717" t="s">
        <v>35</v>
      </c>
      <c r="J3717"/>
      <c r="K3717">
        <v>12.22</v>
      </c>
      <c r="L3717">
        <v>0.0</v>
      </c>
      <c r="M3717"/>
      <c r="N3717"/>
      <c r="O3717">
        <v>2.2</v>
      </c>
      <c r="P3717">
        <v>0.2</v>
      </c>
      <c r="Q3717">
        <v>14.62</v>
      </c>
      <c r="R3717"/>
      <c r="S3717"/>
      <c r="T3717"/>
      <c r="U3717"/>
      <c r="V3717"/>
      <c r="W3717">
        <v>18</v>
      </c>
    </row>
    <row r="3718" spans="1:23">
      <c r="A3718"/>
      <c r="B3718" t="s">
        <v>86</v>
      </c>
      <c r="C3718" t="s">
        <v>86</v>
      </c>
      <c r="D3718" t="s">
        <v>33</v>
      </c>
      <c r="E3718" t="s">
        <v>34</v>
      </c>
      <c r="F3718" t="str">
        <f>"0004012"</f>
        <v>0004012</v>
      </c>
      <c r="G3718">
        <v>1</v>
      </c>
      <c r="H3718" t="str">
        <f>"00000000"</f>
        <v>00000000</v>
      </c>
      <c r="I3718" t="s">
        <v>35</v>
      </c>
      <c r="J3718"/>
      <c r="K3718">
        <v>23.02</v>
      </c>
      <c r="L3718">
        <v>21.98</v>
      </c>
      <c r="M3718"/>
      <c r="N3718"/>
      <c r="O3718">
        <v>4.14</v>
      </c>
      <c r="P3718">
        <v>0.4</v>
      </c>
      <c r="Q3718">
        <v>49.54</v>
      </c>
      <c r="R3718"/>
      <c r="S3718"/>
      <c r="T3718"/>
      <c r="U3718"/>
      <c r="V3718"/>
      <c r="W3718">
        <v>18</v>
      </c>
    </row>
    <row r="3719" spans="1:23">
      <c r="A3719"/>
      <c r="B3719" t="s">
        <v>86</v>
      </c>
      <c r="C3719" t="s">
        <v>86</v>
      </c>
      <c r="D3719" t="s">
        <v>33</v>
      </c>
      <c r="E3719" t="s">
        <v>34</v>
      </c>
      <c r="F3719" t="str">
        <f>"0004013"</f>
        <v>0004013</v>
      </c>
      <c r="G3719">
        <v>1</v>
      </c>
      <c r="H3719" t="str">
        <f>"00000000"</f>
        <v>00000000</v>
      </c>
      <c r="I3719" t="s">
        <v>35</v>
      </c>
      <c r="J3719"/>
      <c r="K3719">
        <v>0.85</v>
      </c>
      <c r="L3719">
        <v>0.0</v>
      </c>
      <c r="M3719"/>
      <c r="N3719"/>
      <c r="O3719">
        <v>0.15</v>
      </c>
      <c r="P3719">
        <v>0.0</v>
      </c>
      <c r="Q3719">
        <v>1.0</v>
      </c>
      <c r="R3719"/>
      <c r="S3719"/>
      <c r="T3719"/>
      <c r="U3719"/>
      <c r="V3719"/>
      <c r="W3719">
        <v>18</v>
      </c>
    </row>
    <row r="3720" spans="1:23">
      <c r="A3720"/>
      <c r="B3720" t="s">
        <v>86</v>
      </c>
      <c r="C3720" t="s">
        <v>86</v>
      </c>
      <c r="D3720" t="s">
        <v>33</v>
      </c>
      <c r="E3720" t="s">
        <v>34</v>
      </c>
      <c r="F3720" t="str">
        <f>"0004014"</f>
        <v>0004014</v>
      </c>
      <c r="G3720">
        <v>1</v>
      </c>
      <c r="H3720" t="str">
        <f>"00000000"</f>
        <v>00000000</v>
      </c>
      <c r="I3720" t="s">
        <v>35</v>
      </c>
      <c r="J3720"/>
      <c r="K3720">
        <v>33.89</v>
      </c>
      <c r="L3720">
        <v>0.0</v>
      </c>
      <c r="M3720"/>
      <c r="N3720"/>
      <c r="O3720">
        <v>6.1</v>
      </c>
      <c r="P3720">
        <v>0.0</v>
      </c>
      <c r="Q3720">
        <v>39.99</v>
      </c>
      <c r="R3720"/>
      <c r="S3720"/>
      <c r="T3720"/>
      <c r="U3720"/>
      <c r="V3720"/>
      <c r="W3720">
        <v>18</v>
      </c>
    </row>
    <row r="3721" spans="1:23">
      <c r="A3721"/>
      <c r="B3721" t="s">
        <v>86</v>
      </c>
      <c r="C3721" t="s">
        <v>86</v>
      </c>
      <c r="D3721" t="s">
        <v>33</v>
      </c>
      <c r="E3721" t="s">
        <v>34</v>
      </c>
      <c r="F3721" t="str">
        <f>"0004015"</f>
        <v>0004015</v>
      </c>
      <c r="G3721">
        <v>1</v>
      </c>
      <c r="H3721" t="str">
        <f>"00000000"</f>
        <v>00000000</v>
      </c>
      <c r="I3721" t="s">
        <v>35</v>
      </c>
      <c r="J3721"/>
      <c r="K3721">
        <v>0.02</v>
      </c>
      <c r="L3721">
        <v>0.0</v>
      </c>
      <c r="M3721"/>
      <c r="N3721"/>
      <c r="O3721">
        <v>0.0</v>
      </c>
      <c r="P3721">
        <v>0.2</v>
      </c>
      <c r="Q3721">
        <v>0.22</v>
      </c>
      <c r="R3721"/>
      <c r="S3721"/>
      <c r="T3721"/>
      <c r="U3721"/>
      <c r="V3721"/>
      <c r="W3721">
        <v>18</v>
      </c>
    </row>
    <row r="3722" spans="1:23">
      <c r="A3722"/>
      <c r="B3722" t="s">
        <v>86</v>
      </c>
      <c r="C3722" t="s">
        <v>86</v>
      </c>
      <c r="D3722" t="s">
        <v>33</v>
      </c>
      <c r="E3722" t="s">
        <v>34</v>
      </c>
      <c r="F3722" t="str">
        <f>"0004016"</f>
        <v>0004016</v>
      </c>
      <c r="G3722">
        <v>1</v>
      </c>
      <c r="H3722" t="str">
        <f>"00000000"</f>
        <v>00000000</v>
      </c>
      <c r="I3722" t="s">
        <v>35</v>
      </c>
      <c r="J3722"/>
      <c r="K3722">
        <v>0.85</v>
      </c>
      <c r="L3722">
        <v>0.0</v>
      </c>
      <c r="M3722"/>
      <c r="N3722"/>
      <c r="O3722">
        <v>0.15</v>
      </c>
      <c r="P3722">
        <v>0.0</v>
      </c>
      <c r="Q3722">
        <v>1.0</v>
      </c>
      <c r="R3722"/>
      <c r="S3722"/>
      <c r="T3722"/>
      <c r="U3722"/>
      <c r="V3722"/>
      <c r="W3722">
        <v>18</v>
      </c>
    </row>
    <row r="3723" spans="1:23">
      <c r="A3723"/>
      <c r="B3723" t="s">
        <v>86</v>
      </c>
      <c r="C3723" t="s">
        <v>86</v>
      </c>
      <c r="D3723" t="s">
        <v>33</v>
      </c>
      <c r="E3723" t="s">
        <v>34</v>
      </c>
      <c r="F3723" t="str">
        <f>"0004017"</f>
        <v>0004017</v>
      </c>
      <c r="G3723">
        <v>1</v>
      </c>
      <c r="H3723" t="str">
        <f>"00000000"</f>
        <v>00000000</v>
      </c>
      <c r="I3723" t="s">
        <v>35</v>
      </c>
      <c r="J3723"/>
      <c r="K3723">
        <v>14.75</v>
      </c>
      <c r="L3723">
        <v>0.0</v>
      </c>
      <c r="M3723"/>
      <c r="N3723"/>
      <c r="O3723">
        <v>2.65</v>
      </c>
      <c r="P3723">
        <v>0.0</v>
      </c>
      <c r="Q3723">
        <v>17.4</v>
      </c>
      <c r="R3723"/>
      <c r="S3723"/>
      <c r="T3723"/>
      <c r="U3723"/>
      <c r="V3723"/>
      <c r="W3723">
        <v>18</v>
      </c>
    </row>
    <row r="3724" spans="1:23">
      <c r="A3724"/>
      <c r="B3724" t="s">
        <v>86</v>
      </c>
      <c r="C3724" t="s">
        <v>86</v>
      </c>
      <c r="D3724" t="s">
        <v>33</v>
      </c>
      <c r="E3724" t="s">
        <v>34</v>
      </c>
      <c r="F3724" t="str">
        <f>"0004018"</f>
        <v>0004018</v>
      </c>
      <c r="G3724">
        <v>1</v>
      </c>
      <c r="H3724" t="str">
        <f>"00000000"</f>
        <v>00000000</v>
      </c>
      <c r="I3724" t="s">
        <v>35</v>
      </c>
      <c r="J3724"/>
      <c r="K3724">
        <v>1.81</v>
      </c>
      <c r="L3724">
        <v>2.47</v>
      </c>
      <c r="M3724"/>
      <c r="N3724"/>
      <c r="O3724">
        <v>0.33</v>
      </c>
      <c r="P3724">
        <v>0.0</v>
      </c>
      <c r="Q3724">
        <v>4.61</v>
      </c>
      <c r="R3724"/>
      <c r="S3724"/>
      <c r="T3724"/>
      <c r="U3724"/>
      <c r="V3724"/>
      <c r="W3724">
        <v>18</v>
      </c>
    </row>
    <row r="3725" spans="1:23">
      <c r="A3725"/>
      <c r="B3725" t="s">
        <v>86</v>
      </c>
      <c r="C3725" t="s">
        <v>86</v>
      </c>
      <c r="D3725" t="s">
        <v>33</v>
      </c>
      <c r="E3725" t="s">
        <v>34</v>
      </c>
      <c r="F3725" t="str">
        <f>"0004019"</f>
        <v>0004019</v>
      </c>
      <c r="G3725">
        <v>1</v>
      </c>
      <c r="H3725" t="str">
        <f>"00000000"</f>
        <v>00000000</v>
      </c>
      <c r="I3725" t="s">
        <v>35</v>
      </c>
      <c r="J3725"/>
      <c r="K3725">
        <v>12.81</v>
      </c>
      <c r="L3725">
        <v>7.36</v>
      </c>
      <c r="M3725"/>
      <c r="N3725"/>
      <c r="O3725">
        <v>2.31</v>
      </c>
      <c r="P3725">
        <v>0.2</v>
      </c>
      <c r="Q3725">
        <v>22.68</v>
      </c>
      <c r="R3725"/>
      <c r="S3725"/>
      <c r="T3725"/>
      <c r="U3725"/>
      <c r="V3725"/>
      <c r="W3725">
        <v>18</v>
      </c>
    </row>
    <row r="3726" spans="1:23">
      <c r="A3726"/>
      <c r="B3726" t="s">
        <v>86</v>
      </c>
      <c r="C3726" t="s">
        <v>86</v>
      </c>
      <c r="D3726" t="s">
        <v>33</v>
      </c>
      <c r="E3726" t="s">
        <v>34</v>
      </c>
      <c r="F3726" t="str">
        <f>"0004020"</f>
        <v>0004020</v>
      </c>
      <c r="G3726">
        <v>1</v>
      </c>
      <c r="H3726" t="str">
        <f>"00000000"</f>
        <v>00000000</v>
      </c>
      <c r="I3726" t="s">
        <v>35</v>
      </c>
      <c r="J3726"/>
      <c r="K3726">
        <v>46.72</v>
      </c>
      <c r="L3726">
        <v>0.0</v>
      </c>
      <c r="M3726"/>
      <c r="N3726"/>
      <c r="O3726">
        <v>8.41</v>
      </c>
      <c r="P3726">
        <v>0.4</v>
      </c>
      <c r="Q3726">
        <v>55.52</v>
      </c>
      <c r="R3726"/>
      <c r="S3726"/>
      <c r="T3726"/>
      <c r="U3726"/>
      <c r="V3726"/>
      <c r="W3726">
        <v>18</v>
      </c>
    </row>
    <row r="3727" spans="1:23">
      <c r="A3727"/>
      <c r="B3727" t="s">
        <v>86</v>
      </c>
      <c r="C3727" t="s">
        <v>86</v>
      </c>
      <c r="D3727" t="s">
        <v>33</v>
      </c>
      <c r="E3727" t="s">
        <v>34</v>
      </c>
      <c r="F3727" t="str">
        <f>"0004021"</f>
        <v>0004021</v>
      </c>
      <c r="G3727">
        <v>1</v>
      </c>
      <c r="H3727" t="str">
        <f>"00000000"</f>
        <v>00000000</v>
      </c>
      <c r="I3727" t="s">
        <v>35</v>
      </c>
      <c r="J3727"/>
      <c r="K3727">
        <v>8.05</v>
      </c>
      <c r="L3727">
        <v>0.0</v>
      </c>
      <c r="M3727"/>
      <c r="N3727"/>
      <c r="O3727">
        <v>1.45</v>
      </c>
      <c r="P3727">
        <v>0.0</v>
      </c>
      <c r="Q3727">
        <v>9.5</v>
      </c>
      <c r="R3727"/>
      <c r="S3727"/>
      <c r="T3727"/>
      <c r="U3727"/>
      <c r="V3727"/>
      <c r="W3727">
        <v>18</v>
      </c>
    </row>
    <row r="3728" spans="1:23">
      <c r="A3728"/>
      <c r="B3728" t="s">
        <v>86</v>
      </c>
      <c r="C3728" t="s">
        <v>86</v>
      </c>
      <c r="D3728" t="s">
        <v>33</v>
      </c>
      <c r="E3728" t="s">
        <v>34</v>
      </c>
      <c r="F3728" t="str">
        <f>"0004022"</f>
        <v>0004022</v>
      </c>
      <c r="G3728">
        <v>1</v>
      </c>
      <c r="H3728" t="str">
        <f>"00000000"</f>
        <v>00000000</v>
      </c>
      <c r="I3728" t="s">
        <v>35</v>
      </c>
      <c r="J3728"/>
      <c r="K3728">
        <v>0.02</v>
      </c>
      <c r="L3728">
        <v>9.16</v>
      </c>
      <c r="M3728"/>
      <c r="N3728"/>
      <c r="O3728">
        <v>0.0</v>
      </c>
      <c r="P3728">
        <v>0.2</v>
      </c>
      <c r="Q3728">
        <v>9.38</v>
      </c>
      <c r="R3728"/>
      <c r="S3728"/>
      <c r="T3728"/>
      <c r="U3728"/>
      <c r="V3728"/>
      <c r="W3728">
        <v>18</v>
      </c>
    </row>
    <row r="3729" spans="1:23">
      <c r="A3729"/>
      <c r="B3729" t="s">
        <v>86</v>
      </c>
      <c r="C3729" t="s">
        <v>86</v>
      </c>
      <c r="D3729" t="s">
        <v>33</v>
      </c>
      <c r="E3729" t="s">
        <v>34</v>
      </c>
      <c r="F3729" t="str">
        <f>"0004023"</f>
        <v>0004023</v>
      </c>
      <c r="G3729">
        <v>1</v>
      </c>
      <c r="H3729" t="str">
        <f>"00000000"</f>
        <v>00000000</v>
      </c>
      <c r="I3729" t="s">
        <v>35</v>
      </c>
      <c r="J3729"/>
      <c r="K3729">
        <v>24.06</v>
      </c>
      <c r="L3729">
        <v>1.5</v>
      </c>
      <c r="M3729"/>
      <c r="N3729"/>
      <c r="O3729">
        <v>4.33</v>
      </c>
      <c r="P3729">
        <v>0.2</v>
      </c>
      <c r="Q3729">
        <v>30.1</v>
      </c>
      <c r="R3729"/>
      <c r="S3729"/>
      <c r="T3729"/>
      <c r="U3729"/>
      <c r="V3729"/>
      <c r="W3729">
        <v>18</v>
      </c>
    </row>
    <row r="3730" spans="1:23">
      <c r="A3730"/>
      <c r="B3730" t="s">
        <v>86</v>
      </c>
      <c r="C3730" t="s">
        <v>86</v>
      </c>
      <c r="D3730" t="s">
        <v>33</v>
      </c>
      <c r="E3730" t="s">
        <v>34</v>
      </c>
      <c r="F3730" t="str">
        <f>"0004024"</f>
        <v>0004024</v>
      </c>
      <c r="G3730">
        <v>1</v>
      </c>
      <c r="H3730" t="str">
        <f>"00000000"</f>
        <v>00000000</v>
      </c>
      <c r="I3730" t="s">
        <v>35</v>
      </c>
      <c r="J3730"/>
      <c r="K3730">
        <v>1.27</v>
      </c>
      <c r="L3730">
        <v>0.0</v>
      </c>
      <c r="M3730"/>
      <c r="N3730"/>
      <c r="O3730">
        <v>0.23</v>
      </c>
      <c r="P3730">
        <v>0.0</v>
      </c>
      <c r="Q3730">
        <v>1.5</v>
      </c>
      <c r="R3730"/>
      <c r="S3730"/>
      <c r="T3730"/>
      <c r="U3730"/>
      <c r="V3730"/>
      <c r="W3730">
        <v>18</v>
      </c>
    </row>
    <row r="3731" spans="1:23">
      <c r="A3731"/>
      <c r="B3731" t="s">
        <v>86</v>
      </c>
      <c r="C3731" t="s">
        <v>86</v>
      </c>
      <c r="D3731" t="s">
        <v>33</v>
      </c>
      <c r="E3731" t="s">
        <v>34</v>
      </c>
      <c r="F3731" t="str">
        <f>"0004025"</f>
        <v>0004025</v>
      </c>
      <c r="G3731">
        <v>1</v>
      </c>
      <c r="H3731" t="str">
        <f>"00000000"</f>
        <v>00000000</v>
      </c>
      <c r="I3731" t="s">
        <v>35</v>
      </c>
      <c r="J3731"/>
      <c r="K3731">
        <v>4.47</v>
      </c>
      <c r="L3731">
        <v>2.97</v>
      </c>
      <c r="M3731"/>
      <c r="N3731"/>
      <c r="O3731">
        <v>0.81</v>
      </c>
      <c r="P3731">
        <v>0.2</v>
      </c>
      <c r="Q3731">
        <v>8.45</v>
      </c>
      <c r="R3731"/>
      <c r="S3731"/>
      <c r="T3731"/>
      <c r="U3731"/>
      <c r="V3731"/>
      <c r="W3731">
        <v>18</v>
      </c>
    </row>
    <row r="3732" spans="1:23">
      <c r="A3732"/>
      <c r="B3732" t="s">
        <v>86</v>
      </c>
      <c r="C3732" t="s">
        <v>86</v>
      </c>
      <c r="D3732" t="s">
        <v>33</v>
      </c>
      <c r="E3732" t="s">
        <v>34</v>
      </c>
      <c r="F3732" t="str">
        <f>"0004026"</f>
        <v>0004026</v>
      </c>
      <c r="G3732">
        <v>1</v>
      </c>
      <c r="H3732" t="str">
        <f>"00000000"</f>
        <v>00000000</v>
      </c>
      <c r="I3732" t="s">
        <v>35</v>
      </c>
      <c r="J3732"/>
      <c r="K3732">
        <v>4.15</v>
      </c>
      <c r="L3732">
        <v>0.0</v>
      </c>
      <c r="M3732"/>
      <c r="N3732"/>
      <c r="O3732">
        <v>0.75</v>
      </c>
      <c r="P3732">
        <v>0.0</v>
      </c>
      <c r="Q3732">
        <v>4.9</v>
      </c>
      <c r="R3732"/>
      <c r="S3732"/>
      <c r="T3732"/>
      <c r="U3732"/>
      <c r="V3732"/>
      <c r="W3732">
        <v>18</v>
      </c>
    </row>
    <row r="3733" spans="1:23">
      <c r="A3733"/>
      <c r="B3733" t="s">
        <v>86</v>
      </c>
      <c r="C3733" t="s">
        <v>86</v>
      </c>
      <c r="D3733" t="s">
        <v>33</v>
      </c>
      <c r="E3733" t="s">
        <v>34</v>
      </c>
      <c r="F3733" t="str">
        <f>"0004027"</f>
        <v>0004027</v>
      </c>
      <c r="G3733">
        <v>1</v>
      </c>
      <c r="H3733" t="str">
        <f>"00000000"</f>
        <v>00000000</v>
      </c>
      <c r="I3733" t="s">
        <v>35</v>
      </c>
      <c r="J3733"/>
      <c r="K3733">
        <v>5.12</v>
      </c>
      <c r="L3733">
        <v>0.0</v>
      </c>
      <c r="M3733"/>
      <c r="N3733"/>
      <c r="O3733">
        <v>0.92</v>
      </c>
      <c r="P3733">
        <v>0.0</v>
      </c>
      <c r="Q3733">
        <v>6.04</v>
      </c>
      <c r="R3733"/>
      <c r="S3733"/>
      <c r="T3733"/>
      <c r="U3733"/>
      <c r="V3733"/>
      <c r="W3733">
        <v>18</v>
      </c>
    </row>
    <row r="3734" spans="1:23">
      <c r="A3734"/>
      <c r="B3734" t="s">
        <v>86</v>
      </c>
      <c r="C3734" t="s">
        <v>86</v>
      </c>
      <c r="D3734" t="s">
        <v>33</v>
      </c>
      <c r="E3734" t="s">
        <v>34</v>
      </c>
      <c r="F3734" t="str">
        <f>"0004028"</f>
        <v>0004028</v>
      </c>
      <c r="G3734">
        <v>1</v>
      </c>
      <c r="H3734" t="str">
        <f>"00000000"</f>
        <v>00000000</v>
      </c>
      <c r="I3734" t="s">
        <v>35</v>
      </c>
      <c r="J3734"/>
      <c r="K3734">
        <v>19.25</v>
      </c>
      <c r="L3734">
        <v>0.74</v>
      </c>
      <c r="M3734"/>
      <c r="N3734"/>
      <c r="O3734">
        <v>3.47</v>
      </c>
      <c r="P3734">
        <v>0.0</v>
      </c>
      <c r="Q3734">
        <v>23.47</v>
      </c>
      <c r="R3734"/>
      <c r="S3734"/>
      <c r="T3734"/>
      <c r="U3734"/>
      <c r="V3734"/>
      <c r="W3734">
        <v>18</v>
      </c>
    </row>
    <row r="3735" spans="1:23">
      <c r="A3735"/>
      <c r="B3735" t="s">
        <v>86</v>
      </c>
      <c r="C3735" t="s">
        <v>86</v>
      </c>
      <c r="D3735" t="s">
        <v>33</v>
      </c>
      <c r="E3735" t="s">
        <v>34</v>
      </c>
      <c r="F3735" t="str">
        <f>"0004029"</f>
        <v>0004029</v>
      </c>
      <c r="G3735">
        <v>1</v>
      </c>
      <c r="H3735" t="str">
        <f>"00000000"</f>
        <v>00000000</v>
      </c>
      <c r="I3735" t="s">
        <v>35</v>
      </c>
      <c r="J3735"/>
      <c r="K3735">
        <v>35.14</v>
      </c>
      <c r="L3735">
        <v>10.28</v>
      </c>
      <c r="M3735"/>
      <c r="N3735"/>
      <c r="O3735">
        <v>6.33</v>
      </c>
      <c r="P3735">
        <v>0.4</v>
      </c>
      <c r="Q3735">
        <v>52.15</v>
      </c>
      <c r="R3735"/>
      <c r="S3735"/>
      <c r="T3735"/>
      <c r="U3735"/>
      <c r="V3735"/>
      <c r="W3735">
        <v>18</v>
      </c>
    </row>
    <row r="3736" spans="1:23">
      <c r="A3736"/>
      <c r="B3736" t="s">
        <v>86</v>
      </c>
      <c r="C3736" t="s">
        <v>86</v>
      </c>
      <c r="D3736" t="s">
        <v>33</v>
      </c>
      <c r="E3736" t="s">
        <v>34</v>
      </c>
      <c r="F3736" t="str">
        <f>"0004030"</f>
        <v>0004030</v>
      </c>
      <c r="G3736">
        <v>1</v>
      </c>
      <c r="H3736" t="str">
        <f>"00000000"</f>
        <v>00000000</v>
      </c>
      <c r="I3736" t="s">
        <v>35</v>
      </c>
      <c r="J3736"/>
      <c r="K3736">
        <v>15.25</v>
      </c>
      <c r="L3736">
        <v>6.42</v>
      </c>
      <c r="M3736"/>
      <c r="N3736"/>
      <c r="O3736">
        <v>2.75</v>
      </c>
      <c r="P3736">
        <v>0.0</v>
      </c>
      <c r="Q3736">
        <v>24.42</v>
      </c>
      <c r="R3736"/>
      <c r="S3736"/>
      <c r="T3736"/>
      <c r="U3736"/>
      <c r="V3736"/>
      <c r="W3736">
        <v>18</v>
      </c>
    </row>
    <row r="3737" spans="1:23">
      <c r="A3737"/>
      <c r="B3737" t="s">
        <v>86</v>
      </c>
      <c r="C3737" t="s">
        <v>86</v>
      </c>
      <c r="D3737" t="s">
        <v>33</v>
      </c>
      <c r="E3737" t="s">
        <v>34</v>
      </c>
      <c r="F3737" t="str">
        <f>"0004031"</f>
        <v>0004031</v>
      </c>
      <c r="G3737">
        <v>1</v>
      </c>
      <c r="H3737" t="str">
        <f>"00000000"</f>
        <v>00000000</v>
      </c>
      <c r="I3737" t="s">
        <v>35</v>
      </c>
      <c r="J3737"/>
      <c r="K3737">
        <v>4.24</v>
      </c>
      <c r="L3737">
        <v>0.0</v>
      </c>
      <c r="M3737"/>
      <c r="N3737"/>
      <c r="O3737">
        <v>0.76</v>
      </c>
      <c r="P3737">
        <v>0.0</v>
      </c>
      <c r="Q3737">
        <v>5.0</v>
      </c>
      <c r="R3737"/>
      <c r="S3737"/>
      <c r="T3737"/>
      <c r="U3737"/>
      <c r="V3737"/>
      <c r="W3737">
        <v>18</v>
      </c>
    </row>
    <row r="3738" spans="1:23">
      <c r="A3738"/>
      <c r="B3738" t="s">
        <v>86</v>
      </c>
      <c r="C3738" t="s">
        <v>86</v>
      </c>
      <c r="D3738" t="s">
        <v>33</v>
      </c>
      <c r="E3738" t="s">
        <v>34</v>
      </c>
      <c r="F3738" t="str">
        <f>"0004032"</f>
        <v>0004032</v>
      </c>
      <c r="G3738">
        <v>1</v>
      </c>
      <c r="H3738" t="str">
        <f>"00000000"</f>
        <v>00000000</v>
      </c>
      <c r="I3738" t="s">
        <v>35</v>
      </c>
      <c r="J3738"/>
      <c r="K3738">
        <v>10.75</v>
      </c>
      <c r="L3738">
        <v>4.64</v>
      </c>
      <c r="M3738"/>
      <c r="N3738"/>
      <c r="O3738">
        <v>1.93</v>
      </c>
      <c r="P3738">
        <v>0.0</v>
      </c>
      <c r="Q3738">
        <v>17.32</v>
      </c>
      <c r="R3738"/>
      <c r="S3738"/>
      <c r="T3738"/>
      <c r="U3738"/>
      <c r="V3738"/>
      <c r="W3738">
        <v>18</v>
      </c>
    </row>
    <row r="3739" spans="1:23">
      <c r="A3739"/>
      <c r="B3739" t="s">
        <v>86</v>
      </c>
      <c r="C3739" t="s">
        <v>86</v>
      </c>
      <c r="D3739" t="s">
        <v>33</v>
      </c>
      <c r="E3739" t="s">
        <v>34</v>
      </c>
      <c r="F3739" t="str">
        <f>"0004033"</f>
        <v>0004033</v>
      </c>
      <c r="G3739">
        <v>1</v>
      </c>
      <c r="H3739" t="str">
        <f>"00000000"</f>
        <v>00000000</v>
      </c>
      <c r="I3739" t="s">
        <v>35</v>
      </c>
      <c r="J3739"/>
      <c r="K3739">
        <v>0.0</v>
      </c>
      <c r="L3739">
        <v>6.96</v>
      </c>
      <c r="M3739"/>
      <c r="N3739"/>
      <c r="O3739">
        <v>0.0</v>
      </c>
      <c r="P3739">
        <v>0.0</v>
      </c>
      <c r="Q3739">
        <v>6.96</v>
      </c>
      <c r="R3739"/>
      <c r="S3739"/>
      <c r="T3739"/>
      <c r="U3739"/>
      <c r="V3739"/>
      <c r="W3739">
        <v>18</v>
      </c>
    </row>
    <row r="3740" spans="1:23">
      <c r="A3740"/>
      <c r="B3740" t="s">
        <v>86</v>
      </c>
      <c r="C3740" t="s">
        <v>86</v>
      </c>
      <c r="D3740" t="s">
        <v>33</v>
      </c>
      <c r="E3740" t="s">
        <v>34</v>
      </c>
      <c r="F3740" t="str">
        <f>"0004034"</f>
        <v>0004034</v>
      </c>
      <c r="G3740">
        <v>1</v>
      </c>
      <c r="H3740" t="str">
        <f>"00000000"</f>
        <v>00000000</v>
      </c>
      <c r="I3740" t="s">
        <v>35</v>
      </c>
      <c r="J3740"/>
      <c r="K3740">
        <v>20.2</v>
      </c>
      <c r="L3740">
        <v>17.42</v>
      </c>
      <c r="M3740"/>
      <c r="N3740"/>
      <c r="O3740">
        <v>3.64</v>
      </c>
      <c r="P3740">
        <v>0.6</v>
      </c>
      <c r="Q3740">
        <v>41.86</v>
      </c>
      <c r="R3740"/>
      <c r="S3740"/>
      <c r="T3740"/>
      <c r="U3740"/>
      <c r="V3740"/>
      <c r="W3740">
        <v>18</v>
      </c>
    </row>
    <row r="3741" spans="1:23">
      <c r="A3741"/>
      <c r="B3741" t="s">
        <v>86</v>
      </c>
      <c r="C3741" t="s">
        <v>86</v>
      </c>
      <c r="D3741" t="s">
        <v>33</v>
      </c>
      <c r="E3741" t="s">
        <v>34</v>
      </c>
      <c r="F3741" t="str">
        <f>"0004035"</f>
        <v>0004035</v>
      </c>
      <c r="G3741">
        <v>1</v>
      </c>
      <c r="H3741" t="str">
        <f>"00000000"</f>
        <v>00000000</v>
      </c>
      <c r="I3741" t="s">
        <v>35</v>
      </c>
      <c r="J3741"/>
      <c r="K3741">
        <v>3.52</v>
      </c>
      <c r="L3741">
        <v>0.0</v>
      </c>
      <c r="M3741"/>
      <c r="N3741"/>
      <c r="O3741">
        <v>0.63</v>
      </c>
      <c r="P3741">
        <v>0.0</v>
      </c>
      <c r="Q3741">
        <v>4.15</v>
      </c>
      <c r="R3741"/>
      <c r="S3741"/>
      <c r="T3741"/>
      <c r="U3741"/>
      <c r="V3741"/>
      <c r="W3741">
        <v>18</v>
      </c>
    </row>
    <row r="3742" spans="1:23">
      <c r="A3742"/>
      <c r="B3742" t="s">
        <v>86</v>
      </c>
      <c r="C3742" t="s">
        <v>86</v>
      </c>
      <c r="D3742" t="s">
        <v>33</v>
      </c>
      <c r="E3742" t="s">
        <v>34</v>
      </c>
      <c r="F3742" t="str">
        <f>"0004036"</f>
        <v>0004036</v>
      </c>
      <c r="G3742">
        <v>1</v>
      </c>
      <c r="H3742" t="str">
        <f>"00000000"</f>
        <v>00000000</v>
      </c>
      <c r="I3742" t="s">
        <v>35</v>
      </c>
      <c r="J3742"/>
      <c r="K3742">
        <v>1.61</v>
      </c>
      <c r="L3742">
        <v>0.0</v>
      </c>
      <c r="M3742"/>
      <c r="N3742"/>
      <c r="O3742">
        <v>0.29</v>
      </c>
      <c r="P3742">
        <v>0.0</v>
      </c>
      <c r="Q3742">
        <v>1.9</v>
      </c>
      <c r="R3742"/>
      <c r="S3742"/>
      <c r="T3742"/>
      <c r="U3742"/>
      <c r="V3742"/>
      <c r="W3742">
        <v>18</v>
      </c>
    </row>
    <row r="3743" spans="1:23">
      <c r="A3743"/>
      <c r="B3743" t="s">
        <v>86</v>
      </c>
      <c r="C3743" t="s">
        <v>86</v>
      </c>
      <c r="D3743" t="s">
        <v>33</v>
      </c>
      <c r="E3743" t="s">
        <v>34</v>
      </c>
      <c r="F3743" t="str">
        <f>"0004037"</f>
        <v>0004037</v>
      </c>
      <c r="G3743">
        <v>1</v>
      </c>
      <c r="H3743" t="str">
        <f>"00000000"</f>
        <v>00000000</v>
      </c>
      <c r="I3743" t="s">
        <v>35</v>
      </c>
      <c r="J3743"/>
      <c r="K3743">
        <v>7.12</v>
      </c>
      <c r="L3743">
        <v>0.0</v>
      </c>
      <c r="M3743"/>
      <c r="N3743"/>
      <c r="O3743">
        <v>1.28</v>
      </c>
      <c r="P3743">
        <v>0.0</v>
      </c>
      <c r="Q3743">
        <v>8.4</v>
      </c>
      <c r="R3743"/>
      <c r="S3743"/>
      <c r="T3743"/>
      <c r="U3743"/>
      <c r="V3743"/>
      <c r="W3743">
        <v>18</v>
      </c>
    </row>
    <row r="3744" spans="1:23">
      <c r="A3744"/>
      <c r="B3744" t="s">
        <v>86</v>
      </c>
      <c r="C3744" t="s">
        <v>86</v>
      </c>
      <c r="D3744" t="s">
        <v>33</v>
      </c>
      <c r="E3744" t="s">
        <v>34</v>
      </c>
      <c r="F3744" t="str">
        <f>"0004038"</f>
        <v>0004038</v>
      </c>
      <c r="G3744">
        <v>1</v>
      </c>
      <c r="H3744" t="str">
        <f>"00000000"</f>
        <v>00000000</v>
      </c>
      <c r="I3744" t="s">
        <v>35</v>
      </c>
      <c r="J3744"/>
      <c r="K3744">
        <v>5.51</v>
      </c>
      <c r="L3744">
        <v>0.0</v>
      </c>
      <c r="M3744"/>
      <c r="N3744"/>
      <c r="O3744">
        <v>0.99</v>
      </c>
      <c r="P3744">
        <v>0.0</v>
      </c>
      <c r="Q3744">
        <v>6.5</v>
      </c>
      <c r="R3744"/>
      <c r="S3744"/>
      <c r="T3744"/>
      <c r="U3744"/>
      <c r="V3744"/>
      <c r="W3744">
        <v>18</v>
      </c>
    </row>
    <row r="3745" spans="1:23">
      <c r="A3745"/>
      <c r="B3745" t="s">
        <v>86</v>
      </c>
      <c r="C3745" t="s">
        <v>86</v>
      </c>
      <c r="D3745" t="s">
        <v>33</v>
      </c>
      <c r="E3745" t="s">
        <v>34</v>
      </c>
      <c r="F3745" t="str">
        <f>"0004039"</f>
        <v>0004039</v>
      </c>
      <c r="G3745">
        <v>1</v>
      </c>
      <c r="H3745" t="str">
        <f>"00000000"</f>
        <v>00000000</v>
      </c>
      <c r="I3745" t="s">
        <v>35</v>
      </c>
      <c r="J3745"/>
      <c r="K3745">
        <v>1.02</v>
      </c>
      <c r="L3745">
        <v>0.0</v>
      </c>
      <c r="M3745"/>
      <c r="N3745"/>
      <c r="O3745">
        <v>0.18</v>
      </c>
      <c r="P3745">
        <v>0.0</v>
      </c>
      <c r="Q3745">
        <v>1.2</v>
      </c>
      <c r="R3745"/>
      <c r="S3745"/>
      <c r="T3745"/>
      <c r="U3745"/>
      <c r="V3745"/>
      <c r="W3745">
        <v>18</v>
      </c>
    </row>
    <row r="3746" spans="1:23">
      <c r="A3746"/>
      <c r="B3746" t="s">
        <v>86</v>
      </c>
      <c r="C3746" t="s">
        <v>86</v>
      </c>
      <c r="D3746" t="s">
        <v>33</v>
      </c>
      <c r="E3746" t="s">
        <v>34</v>
      </c>
      <c r="F3746" t="str">
        <f>"0004040"</f>
        <v>0004040</v>
      </c>
      <c r="G3746">
        <v>1</v>
      </c>
      <c r="H3746" t="str">
        <f>"00000000"</f>
        <v>00000000</v>
      </c>
      <c r="I3746" t="s">
        <v>35</v>
      </c>
      <c r="J3746"/>
      <c r="K3746">
        <v>8.07</v>
      </c>
      <c r="L3746">
        <v>0.0</v>
      </c>
      <c r="M3746"/>
      <c r="N3746"/>
      <c r="O3746">
        <v>1.45</v>
      </c>
      <c r="P3746">
        <v>0.2</v>
      </c>
      <c r="Q3746">
        <v>9.72</v>
      </c>
      <c r="R3746"/>
      <c r="S3746"/>
      <c r="T3746"/>
      <c r="U3746"/>
      <c r="V3746"/>
      <c r="W3746">
        <v>18</v>
      </c>
    </row>
    <row r="3747" spans="1:23">
      <c r="A3747"/>
      <c r="B3747" t="s">
        <v>86</v>
      </c>
      <c r="C3747" t="s">
        <v>86</v>
      </c>
      <c r="D3747" t="s">
        <v>33</v>
      </c>
      <c r="E3747" t="s">
        <v>34</v>
      </c>
      <c r="F3747" t="str">
        <f>"0004041"</f>
        <v>0004041</v>
      </c>
      <c r="G3747">
        <v>1</v>
      </c>
      <c r="H3747" t="str">
        <f>"00000000"</f>
        <v>00000000</v>
      </c>
      <c r="I3747" t="s">
        <v>35</v>
      </c>
      <c r="J3747"/>
      <c r="K3747">
        <v>0.0</v>
      </c>
      <c r="L3747">
        <v>2.16</v>
      </c>
      <c r="M3747"/>
      <c r="N3747"/>
      <c r="O3747">
        <v>0.0</v>
      </c>
      <c r="P3747">
        <v>0.0</v>
      </c>
      <c r="Q3747">
        <v>2.16</v>
      </c>
      <c r="R3747"/>
      <c r="S3747"/>
      <c r="T3747"/>
      <c r="U3747"/>
      <c r="V3747"/>
      <c r="W3747">
        <v>18</v>
      </c>
    </row>
    <row r="3748" spans="1:23">
      <c r="A3748"/>
      <c r="B3748" t="s">
        <v>86</v>
      </c>
      <c r="C3748" t="s">
        <v>86</v>
      </c>
      <c r="D3748" t="s">
        <v>33</v>
      </c>
      <c r="E3748" t="s">
        <v>34</v>
      </c>
      <c r="F3748" t="str">
        <f>"0004042"</f>
        <v>0004042</v>
      </c>
      <c r="G3748">
        <v>1</v>
      </c>
      <c r="H3748" t="str">
        <f>"00000000"</f>
        <v>00000000</v>
      </c>
      <c r="I3748" t="s">
        <v>35</v>
      </c>
      <c r="J3748"/>
      <c r="K3748">
        <v>0.02</v>
      </c>
      <c r="L3748">
        <v>7.09</v>
      </c>
      <c r="M3748"/>
      <c r="N3748"/>
      <c r="O3748">
        <v>0.0</v>
      </c>
      <c r="P3748">
        <v>0.2</v>
      </c>
      <c r="Q3748">
        <v>7.31</v>
      </c>
      <c r="R3748"/>
      <c r="S3748"/>
      <c r="T3748"/>
      <c r="U3748"/>
      <c r="V3748"/>
      <c r="W3748">
        <v>18</v>
      </c>
    </row>
    <row r="3749" spans="1:23">
      <c r="A3749"/>
      <c r="B3749" t="s">
        <v>86</v>
      </c>
      <c r="C3749" t="s">
        <v>86</v>
      </c>
      <c r="D3749" t="s">
        <v>33</v>
      </c>
      <c r="E3749" t="s">
        <v>34</v>
      </c>
      <c r="F3749" t="str">
        <f>"0004043"</f>
        <v>0004043</v>
      </c>
      <c r="G3749">
        <v>1</v>
      </c>
      <c r="H3749" t="str">
        <f>"00000000"</f>
        <v>00000000</v>
      </c>
      <c r="I3749" t="s">
        <v>35</v>
      </c>
      <c r="J3749"/>
      <c r="K3749">
        <v>9.32</v>
      </c>
      <c r="L3749">
        <v>0.0</v>
      </c>
      <c r="M3749"/>
      <c r="N3749"/>
      <c r="O3749">
        <v>1.68</v>
      </c>
      <c r="P3749">
        <v>0.0</v>
      </c>
      <c r="Q3749">
        <v>11.0</v>
      </c>
      <c r="R3749"/>
      <c r="S3749"/>
      <c r="T3749"/>
      <c r="U3749"/>
      <c r="V3749"/>
      <c r="W3749">
        <v>18</v>
      </c>
    </row>
    <row r="3750" spans="1:23">
      <c r="A3750"/>
      <c r="B3750" t="s">
        <v>86</v>
      </c>
      <c r="C3750" t="s">
        <v>86</v>
      </c>
      <c r="D3750" t="s">
        <v>33</v>
      </c>
      <c r="E3750" t="s">
        <v>34</v>
      </c>
      <c r="F3750" t="str">
        <f>"0004044"</f>
        <v>0004044</v>
      </c>
      <c r="G3750">
        <v>1</v>
      </c>
      <c r="H3750" t="str">
        <f>"00000000"</f>
        <v>00000000</v>
      </c>
      <c r="I3750" t="s">
        <v>35</v>
      </c>
      <c r="J3750"/>
      <c r="K3750">
        <v>24.36</v>
      </c>
      <c r="L3750">
        <v>2.52</v>
      </c>
      <c r="M3750"/>
      <c r="N3750"/>
      <c r="O3750">
        <v>4.38</v>
      </c>
      <c r="P3750">
        <v>0.4</v>
      </c>
      <c r="Q3750">
        <v>31.66</v>
      </c>
      <c r="R3750"/>
      <c r="S3750"/>
      <c r="T3750"/>
      <c r="U3750"/>
      <c r="V3750"/>
      <c r="W3750">
        <v>18</v>
      </c>
    </row>
    <row r="3751" spans="1:23">
      <c r="A3751"/>
      <c r="B3751" t="s">
        <v>86</v>
      </c>
      <c r="C3751" t="s">
        <v>86</v>
      </c>
      <c r="D3751" t="s">
        <v>33</v>
      </c>
      <c r="E3751" t="s">
        <v>34</v>
      </c>
      <c r="F3751" t="str">
        <f>"0004045"</f>
        <v>0004045</v>
      </c>
      <c r="G3751">
        <v>1</v>
      </c>
      <c r="H3751" t="str">
        <f>"00000000"</f>
        <v>00000000</v>
      </c>
      <c r="I3751" t="s">
        <v>35</v>
      </c>
      <c r="J3751"/>
      <c r="K3751">
        <v>5.08</v>
      </c>
      <c r="L3751">
        <v>0.0</v>
      </c>
      <c r="M3751"/>
      <c r="N3751"/>
      <c r="O3751">
        <v>0.92</v>
      </c>
      <c r="P3751">
        <v>0.0</v>
      </c>
      <c r="Q3751">
        <v>6.0</v>
      </c>
      <c r="R3751"/>
      <c r="S3751"/>
      <c r="T3751"/>
      <c r="U3751"/>
      <c r="V3751"/>
      <c r="W3751">
        <v>18</v>
      </c>
    </row>
    <row r="3752" spans="1:23">
      <c r="A3752"/>
      <c r="B3752" t="s">
        <v>86</v>
      </c>
      <c r="C3752" t="s">
        <v>86</v>
      </c>
      <c r="D3752" t="s">
        <v>33</v>
      </c>
      <c r="E3752" t="s">
        <v>34</v>
      </c>
      <c r="F3752" t="str">
        <f>"0004046"</f>
        <v>0004046</v>
      </c>
      <c r="G3752">
        <v>1</v>
      </c>
      <c r="H3752" t="str">
        <f>"00000000"</f>
        <v>00000000</v>
      </c>
      <c r="I3752" t="s">
        <v>35</v>
      </c>
      <c r="J3752"/>
      <c r="K3752">
        <v>0.0</v>
      </c>
      <c r="L3752">
        <v>0.83</v>
      </c>
      <c r="M3752"/>
      <c r="N3752"/>
      <c r="O3752">
        <v>0.0</v>
      </c>
      <c r="P3752">
        <v>0.0</v>
      </c>
      <c r="Q3752">
        <v>0.83</v>
      </c>
      <c r="R3752"/>
      <c r="S3752"/>
      <c r="T3752"/>
      <c r="U3752"/>
      <c r="V3752"/>
      <c r="W3752">
        <v>18</v>
      </c>
    </row>
    <row r="3753" spans="1:23">
      <c r="A3753"/>
      <c r="B3753" t="s">
        <v>86</v>
      </c>
      <c r="C3753" t="s">
        <v>86</v>
      </c>
      <c r="D3753" t="s">
        <v>33</v>
      </c>
      <c r="E3753" t="s">
        <v>34</v>
      </c>
      <c r="F3753" t="str">
        <f>"0004047"</f>
        <v>0004047</v>
      </c>
      <c r="G3753">
        <v>1</v>
      </c>
      <c r="H3753" t="str">
        <f>"00000000"</f>
        <v>00000000</v>
      </c>
      <c r="I3753" t="s">
        <v>35</v>
      </c>
      <c r="J3753"/>
      <c r="K3753">
        <v>41.49</v>
      </c>
      <c r="L3753">
        <v>9.62</v>
      </c>
      <c r="M3753"/>
      <c r="N3753"/>
      <c r="O3753">
        <v>7.47</v>
      </c>
      <c r="P3753">
        <v>0.4</v>
      </c>
      <c r="Q3753">
        <v>58.97</v>
      </c>
      <c r="R3753"/>
      <c r="S3753"/>
      <c r="T3753"/>
      <c r="U3753"/>
      <c r="V3753"/>
      <c r="W3753">
        <v>18</v>
      </c>
    </row>
    <row r="3754" spans="1:23">
      <c r="A3754"/>
      <c r="B3754" t="s">
        <v>86</v>
      </c>
      <c r="C3754" t="s">
        <v>86</v>
      </c>
      <c r="D3754" t="s">
        <v>33</v>
      </c>
      <c r="E3754" t="s">
        <v>34</v>
      </c>
      <c r="F3754" t="str">
        <f>"0004048"</f>
        <v>0004048</v>
      </c>
      <c r="G3754">
        <v>1</v>
      </c>
      <c r="H3754" t="str">
        <f>"00000000"</f>
        <v>00000000</v>
      </c>
      <c r="I3754" t="s">
        <v>35</v>
      </c>
      <c r="J3754"/>
      <c r="K3754">
        <v>0.02</v>
      </c>
      <c r="L3754">
        <v>6.09</v>
      </c>
      <c r="M3754"/>
      <c r="N3754"/>
      <c r="O3754">
        <v>0.0</v>
      </c>
      <c r="P3754">
        <v>0.2</v>
      </c>
      <c r="Q3754">
        <v>6.31</v>
      </c>
      <c r="R3754"/>
      <c r="S3754"/>
      <c r="T3754"/>
      <c r="U3754"/>
      <c r="V3754"/>
      <c r="W3754">
        <v>18</v>
      </c>
    </row>
    <row r="3755" spans="1:23">
      <c r="A3755"/>
      <c r="B3755" t="s">
        <v>86</v>
      </c>
      <c r="C3755" t="s">
        <v>86</v>
      </c>
      <c r="D3755" t="s">
        <v>33</v>
      </c>
      <c r="E3755" t="s">
        <v>34</v>
      </c>
      <c r="F3755" t="str">
        <f>"0004049"</f>
        <v>0004049</v>
      </c>
      <c r="G3755">
        <v>1</v>
      </c>
      <c r="H3755" t="str">
        <f>"00000000"</f>
        <v>00000000</v>
      </c>
      <c r="I3755" t="s">
        <v>35</v>
      </c>
      <c r="J3755"/>
      <c r="K3755">
        <v>17.71</v>
      </c>
      <c r="L3755">
        <v>0.0</v>
      </c>
      <c r="M3755"/>
      <c r="N3755"/>
      <c r="O3755">
        <v>3.19</v>
      </c>
      <c r="P3755">
        <v>0.2</v>
      </c>
      <c r="Q3755">
        <v>21.1</v>
      </c>
      <c r="R3755"/>
      <c r="S3755"/>
      <c r="T3755"/>
      <c r="U3755"/>
      <c r="V3755"/>
      <c r="W3755">
        <v>18</v>
      </c>
    </row>
    <row r="3756" spans="1:23">
      <c r="A3756"/>
      <c r="B3756" t="s">
        <v>86</v>
      </c>
      <c r="C3756" t="s">
        <v>86</v>
      </c>
      <c r="D3756" t="s">
        <v>33</v>
      </c>
      <c r="E3756" t="s">
        <v>34</v>
      </c>
      <c r="F3756" t="str">
        <f>"0004050"</f>
        <v>0004050</v>
      </c>
      <c r="G3756">
        <v>1</v>
      </c>
      <c r="H3756" t="str">
        <f>"00000000"</f>
        <v>00000000</v>
      </c>
      <c r="I3756" t="s">
        <v>35</v>
      </c>
      <c r="J3756"/>
      <c r="K3756">
        <v>1.17</v>
      </c>
      <c r="L3756">
        <v>6.44</v>
      </c>
      <c r="M3756"/>
      <c r="N3756"/>
      <c r="O3756">
        <v>0.21</v>
      </c>
      <c r="P3756">
        <v>0.2</v>
      </c>
      <c r="Q3756">
        <v>8.03</v>
      </c>
      <c r="R3756"/>
      <c r="S3756"/>
      <c r="T3756"/>
      <c r="U3756"/>
      <c r="V3756"/>
      <c r="W3756">
        <v>18</v>
      </c>
    </row>
    <row r="3757" spans="1:23">
      <c r="A3757"/>
      <c r="B3757" t="s">
        <v>86</v>
      </c>
      <c r="C3757" t="s">
        <v>86</v>
      </c>
      <c r="D3757" t="s">
        <v>33</v>
      </c>
      <c r="E3757" t="s">
        <v>34</v>
      </c>
      <c r="F3757" t="str">
        <f>"0004051"</f>
        <v>0004051</v>
      </c>
      <c r="G3757">
        <v>1</v>
      </c>
      <c r="H3757" t="str">
        <f>"00000000"</f>
        <v>00000000</v>
      </c>
      <c r="I3757" t="s">
        <v>35</v>
      </c>
      <c r="J3757"/>
      <c r="K3757">
        <v>13.0</v>
      </c>
      <c r="L3757">
        <v>4.43</v>
      </c>
      <c r="M3757"/>
      <c r="N3757"/>
      <c r="O3757">
        <v>2.34</v>
      </c>
      <c r="P3757">
        <v>0.0</v>
      </c>
      <c r="Q3757">
        <v>19.77</v>
      </c>
      <c r="R3757"/>
      <c r="S3757"/>
      <c r="T3757"/>
      <c r="U3757"/>
      <c r="V3757"/>
      <c r="W3757">
        <v>18</v>
      </c>
    </row>
    <row r="3758" spans="1:23">
      <c r="A3758"/>
      <c r="B3758" t="s">
        <v>86</v>
      </c>
      <c r="C3758" t="s">
        <v>86</v>
      </c>
      <c r="D3758" t="s">
        <v>33</v>
      </c>
      <c r="E3758" t="s">
        <v>34</v>
      </c>
      <c r="F3758" t="str">
        <f>"0004052"</f>
        <v>0004052</v>
      </c>
      <c r="G3758">
        <v>1</v>
      </c>
      <c r="H3758" t="str">
        <f>"00000000"</f>
        <v>00000000</v>
      </c>
      <c r="I3758" t="s">
        <v>35</v>
      </c>
      <c r="J3758"/>
      <c r="K3758">
        <v>8.63</v>
      </c>
      <c r="L3758">
        <v>18.93</v>
      </c>
      <c r="M3758"/>
      <c r="N3758"/>
      <c r="O3758">
        <v>1.55</v>
      </c>
      <c r="P3758">
        <v>0.2</v>
      </c>
      <c r="Q3758">
        <v>29.31</v>
      </c>
      <c r="R3758"/>
      <c r="S3758"/>
      <c r="T3758"/>
      <c r="U3758"/>
      <c r="V3758"/>
      <c r="W3758">
        <v>18</v>
      </c>
    </row>
    <row r="3759" spans="1:23">
      <c r="A3759"/>
      <c r="B3759" t="s">
        <v>86</v>
      </c>
      <c r="C3759" t="s">
        <v>86</v>
      </c>
      <c r="D3759" t="s">
        <v>33</v>
      </c>
      <c r="E3759" t="s">
        <v>34</v>
      </c>
      <c r="F3759" t="str">
        <f>"0004053"</f>
        <v>0004053</v>
      </c>
      <c r="G3759">
        <v>1</v>
      </c>
      <c r="H3759" t="str">
        <f>"00000000"</f>
        <v>00000000</v>
      </c>
      <c r="I3759" t="s">
        <v>35</v>
      </c>
      <c r="J3759"/>
      <c r="K3759">
        <v>16.42</v>
      </c>
      <c r="L3759">
        <v>0.0</v>
      </c>
      <c r="M3759"/>
      <c r="N3759"/>
      <c r="O3759">
        <v>2.96</v>
      </c>
      <c r="P3759">
        <v>0.2</v>
      </c>
      <c r="Q3759">
        <v>19.58</v>
      </c>
      <c r="R3759"/>
      <c r="S3759"/>
      <c r="T3759"/>
      <c r="U3759"/>
      <c r="V3759"/>
      <c r="W3759">
        <v>18</v>
      </c>
    </row>
    <row r="3760" spans="1:23">
      <c r="A3760"/>
      <c r="B3760" t="s">
        <v>86</v>
      </c>
      <c r="C3760" t="s">
        <v>86</v>
      </c>
      <c r="D3760" t="s">
        <v>33</v>
      </c>
      <c r="E3760" t="s">
        <v>34</v>
      </c>
      <c r="F3760" t="str">
        <f>"0004054"</f>
        <v>0004054</v>
      </c>
      <c r="G3760">
        <v>1</v>
      </c>
      <c r="H3760" t="str">
        <f>"00000000"</f>
        <v>00000000</v>
      </c>
      <c r="I3760" t="s">
        <v>35</v>
      </c>
      <c r="J3760"/>
      <c r="K3760">
        <v>2.53</v>
      </c>
      <c r="L3760">
        <v>0.0</v>
      </c>
      <c r="M3760"/>
      <c r="N3760"/>
      <c r="O3760">
        <v>0.46</v>
      </c>
      <c r="P3760">
        <v>0.0</v>
      </c>
      <c r="Q3760">
        <v>2.99</v>
      </c>
      <c r="R3760"/>
      <c r="S3760"/>
      <c r="T3760"/>
      <c r="U3760"/>
      <c r="V3760"/>
      <c r="W3760">
        <v>18</v>
      </c>
    </row>
    <row r="3761" spans="1:23">
      <c r="A3761"/>
      <c r="B3761" t="s">
        <v>86</v>
      </c>
      <c r="C3761" t="s">
        <v>86</v>
      </c>
      <c r="D3761" t="s">
        <v>33</v>
      </c>
      <c r="E3761" t="s">
        <v>34</v>
      </c>
      <c r="F3761" t="str">
        <f>"0004055"</f>
        <v>0004055</v>
      </c>
      <c r="G3761">
        <v>1</v>
      </c>
      <c r="H3761" t="str">
        <f>"00000000"</f>
        <v>00000000</v>
      </c>
      <c r="I3761" t="s">
        <v>35</v>
      </c>
      <c r="J3761"/>
      <c r="K3761">
        <v>0.02</v>
      </c>
      <c r="L3761">
        <v>0.0</v>
      </c>
      <c r="M3761"/>
      <c r="N3761"/>
      <c r="O3761">
        <v>0.0</v>
      </c>
      <c r="P3761">
        <v>0.2</v>
      </c>
      <c r="Q3761">
        <v>0.22</v>
      </c>
      <c r="R3761"/>
      <c r="S3761"/>
      <c r="T3761"/>
      <c r="U3761"/>
      <c r="V3761"/>
      <c r="W3761">
        <v>18</v>
      </c>
    </row>
    <row r="3762" spans="1:23">
      <c r="A3762"/>
      <c r="B3762" t="s">
        <v>86</v>
      </c>
      <c r="C3762" t="s">
        <v>86</v>
      </c>
      <c r="D3762" t="s">
        <v>33</v>
      </c>
      <c r="E3762" t="s">
        <v>34</v>
      </c>
      <c r="F3762" t="str">
        <f>"0004056"</f>
        <v>0004056</v>
      </c>
      <c r="G3762">
        <v>1</v>
      </c>
      <c r="H3762" t="str">
        <f>"00000000"</f>
        <v>00000000</v>
      </c>
      <c r="I3762" t="s">
        <v>35</v>
      </c>
      <c r="J3762"/>
      <c r="K3762">
        <v>4.15</v>
      </c>
      <c r="L3762">
        <v>0.0</v>
      </c>
      <c r="M3762"/>
      <c r="N3762"/>
      <c r="O3762">
        <v>0.75</v>
      </c>
      <c r="P3762">
        <v>0.0</v>
      </c>
      <c r="Q3762">
        <v>4.9</v>
      </c>
      <c r="R3762"/>
      <c r="S3762"/>
      <c r="T3762"/>
      <c r="U3762"/>
      <c r="V3762"/>
      <c r="W3762">
        <v>18</v>
      </c>
    </row>
    <row r="3763" spans="1:23">
      <c r="A3763"/>
      <c r="B3763" t="s">
        <v>86</v>
      </c>
      <c r="C3763" t="s">
        <v>86</v>
      </c>
      <c r="D3763" t="s">
        <v>33</v>
      </c>
      <c r="E3763" t="s">
        <v>34</v>
      </c>
      <c r="F3763" t="str">
        <f>"0004057"</f>
        <v>0004057</v>
      </c>
      <c r="G3763">
        <v>1</v>
      </c>
      <c r="H3763" t="str">
        <f>"00000000"</f>
        <v>00000000</v>
      </c>
      <c r="I3763" t="s">
        <v>35</v>
      </c>
      <c r="J3763"/>
      <c r="K3763">
        <v>15.4</v>
      </c>
      <c r="L3763">
        <v>3.24</v>
      </c>
      <c r="M3763"/>
      <c r="N3763"/>
      <c r="O3763">
        <v>2.77</v>
      </c>
      <c r="P3763">
        <v>0.2</v>
      </c>
      <c r="Q3763">
        <v>21.62</v>
      </c>
      <c r="R3763"/>
      <c r="S3763"/>
      <c r="T3763"/>
      <c r="U3763"/>
      <c r="V3763"/>
      <c r="W3763">
        <v>18</v>
      </c>
    </row>
    <row r="3764" spans="1:23">
      <c r="A3764"/>
      <c r="B3764" t="s">
        <v>86</v>
      </c>
      <c r="C3764" t="s">
        <v>86</v>
      </c>
      <c r="D3764" t="s">
        <v>33</v>
      </c>
      <c r="E3764" t="s">
        <v>34</v>
      </c>
      <c r="F3764" t="str">
        <f>"0004058"</f>
        <v>0004058</v>
      </c>
      <c r="G3764">
        <v>1</v>
      </c>
      <c r="H3764" t="str">
        <f>"00000000"</f>
        <v>00000000</v>
      </c>
      <c r="I3764" t="s">
        <v>35</v>
      </c>
      <c r="J3764"/>
      <c r="K3764">
        <v>2.54</v>
      </c>
      <c r="L3764">
        <v>0.0</v>
      </c>
      <c r="M3764"/>
      <c r="N3764"/>
      <c r="O3764">
        <v>0.46</v>
      </c>
      <c r="P3764">
        <v>0.0</v>
      </c>
      <c r="Q3764">
        <v>3.0</v>
      </c>
      <c r="R3764"/>
      <c r="S3764"/>
      <c r="T3764"/>
      <c r="U3764"/>
      <c r="V3764"/>
      <c r="W3764">
        <v>18</v>
      </c>
    </row>
    <row r="3765" spans="1:23">
      <c r="A3765"/>
      <c r="B3765" t="s">
        <v>86</v>
      </c>
      <c r="C3765" t="s">
        <v>86</v>
      </c>
      <c r="D3765" t="s">
        <v>33</v>
      </c>
      <c r="E3765" t="s">
        <v>34</v>
      </c>
      <c r="F3765" t="str">
        <f>"0004059"</f>
        <v>0004059</v>
      </c>
      <c r="G3765">
        <v>1</v>
      </c>
      <c r="H3765" t="str">
        <f>"00000000"</f>
        <v>00000000</v>
      </c>
      <c r="I3765" t="s">
        <v>35</v>
      </c>
      <c r="J3765"/>
      <c r="K3765">
        <v>12.71</v>
      </c>
      <c r="L3765">
        <v>0.0</v>
      </c>
      <c r="M3765"/>
      <c r="N3765"/>
      <c r="O3765">
        <v>2.29</v>
      </c>
      <c r="P3765">
        <v>0.0</v>
      </c>
      <c r="Q3765">
        <v>15.0</v>
      </c>
      <c r="R3765"/>
      <c r="S3765"/>
      <c r="T3765"/>
      <c r="U3765"/>
      <c r="V3765"/>
      <c r="W3765">
        <v>18</v>
      </c>
    </row>
    <row r="3766" spans="1:23">
      <c r="A3766"/>
      <c r="B3766" t="s">
        <v>86</v>
      </c>
      <c r="C3766" t="s">
        <v>86</v>
      </c>
      <c r="D3766" t="s">
        <v>33</v>
      </c>
      <c r="E3766" t="s">
        <v>34</v>
      </c>
      <c r="F3766" t="str">
        <f>"0004060"</f>
        <v>0004060</v>
      </c>
      <c r="G3766">
        <v>1</v>
      </c>
      <c r="H3766" t="str">
        <f>"00000000"</f>
        <v>00000000</v>
      </c>
      <c r="I3766" t="s">
        <v>35</v>
      </c>
      <c r="J3766"/>
      <c r="K3766">
        <v>58.25</v>
      </c>
      <c r="L3766">
        <v>6.0</v>
      </c>
      <c r="M3766"/>
      <c r="N3766"/>
      <c r="O3766">
        <v>10.48</v>
      </c>
      <c r="P3766">
        <v>0.4</v>
      </c>
      <c r="Q3766">
        <v>75.13</v>
      </c>
      <c r="R3766"/>
      <c r="S3766"/>
      <c r="T3766"/>
      <c r="U3766"/>
      <c r="V3766"/>
      <c r="W3766">
        <v>18</v>
      </c>
    </row>
    <row r="3767" spans="1:23">
      <c r="A3767"/>
      <c r="B3767" t="s">
        <v>86</v>
      </c>
      <c r="C3767" t="s">
        <v>86</v>
      </c>
      <c r="D3767" t="s">
        <v>33</v>
      </c>
      <c r="E3767" t="s">
        <v>34</v>
      </c>
      <c r="F3767" t="str">
        <f>"0004061"</f>
        <v>0004061</v>
      </c>
      <c r="G3767">
        <v>1</v>
      </c>
      <c r="H3767" t="str">
        <f>"00000000"</f>
        <v>00000000</v>
      </c>
      <c r="I3767" t="s">
        <v>35</v>
      </c>
      <c r="J3767"/>
      <c r="K3767">
        <v>5.93</v>
      </c>
      <c r="L3767">
        <v>0.0</v>
      </c>
      <c r="M3767"/>
      <c r="N3767"/>
      <c r="O3767">
        <v>1.07</v>
      </c>
      <c r="P3767">
        <v>0.0</v>
      </c>
      <c r="Q3767">
        <v>7.0</v>
      </c>
      <c r="R3767"/>
      <c r="S3767"/>
      <c r="T3767"/>
      <c r="U3767"/>
      <c r="V3767"/>
      <c r="W3767">
        <v>18</v>
      </c>
    </row>
    <row r="3768" spans="1:23">
      <c r="A3768"/>
      <c r="B3768" t="s">
        <v>86</v>
      </c>
      <c r="C3768" t="s">
        <v>86</v>
      </c>
      <c r="D3768" t="s">
        <v>33</v>
      </c>
      <c r="E3768" t="s">
        <v>34</v>
      </c>
      <c r="F3768" t="str">
        <f>"0004062"</f>
        <v>0004062</v>
      </c>
      <c r="G3768">
        <v>1</v>
      </c>
      <c r="H3768" t="str">
        <f>"00000000"</f>
        <v>00000000</v>
      </c>
      <c r="I3768" t="s">
        <v>35</v>
      </c>
      <c r="J3768"/>
      <c r="K3768">
        <v>1.69</v>
      </c>
      <c r="L3768">
        <v>0.0</v>
      </c>
      <c r="M3768"/>
      <c r="N3768"/>
      <c r="O3768">
        <v>0.31</v>
      </c>
      <c r="P3768">
        <v>0.0</v>
      </c>
      <c r="Q3768">
        <v>2.0</v>
      </c>
      <c r="R3768"/>
      <c r="S3768"/>
      <c r="T3768"/>
      <c r="U3768"/>
      <c r="V3768"/>
      <c r="W3768">
        <v>18</v>
      </c>
    </row>
    <row r="3769" spans="1:23">
      <c r="A3769"/>
      <c r="B3769" t="s">
        <v>86</v>
      </c>
      <c r="C3769" t="s">
        <v>86</v>
      </c>
      <c r="D3769" t="s">
        <v>33</v>
      </c>
      <c r="E3769" t="s">
        <v>34</v>
      </c>
      <c r="F3769" t="str">
        <f>"0004063"</f>
        <v>0004063</v>
      </c>
      <c r="G3769">
        <v>1</v>
      </c>
      <c r="H3769" t="str">
        <f>"00000000"</f>
        <v>00000000</v>
      </c>
      <c r="I3769" t="s">
        <v>35</v>
      </c>
      <c r="J3769"/>
      <c r="K3769">
        <v>80.78</v>
      </c>
      <c r="L3769">
        <v>9.04</v>
      </c>
      <c r="M3769"/>
      <c r="N3769"/>
      <c r="O3769">
        <v>14.54</v>
      </c>
      <c r="P3769">
        <v>0.4</v>
      </c>
      <c r="Q3769">
        <v>104.76</v>
      </c>
      <c r="R3769"/>
      <c r="S3769"/>
      <c r="T3769"/>
      <c r="U3769"/>
      <c r="V3769"/>
      <c r="W3769">
        <v>18</v>
      </c>
    </row>
    <row r="3770" spans="1:23">
      <c r="A3770"/>
      <c r="B3770" t="s">
        <v>86</v>
      </c>
      <c r="C3770" t="s">
        <v>86</v>
      </c>
      <c r="D3770" t="s">
        <v>33</v>
      </c>
      <c r="E3770" t="s">
        <v>34</v>
      </c>
      <c r="F3770" t="str">
        <f>"0004064"</f>
        <v>0004064</v>
      </c>
      <c r="G3770">
        <v>1</v>
      </c>
      <c r="H3770" t="str">
        <f>"00000000"</f>
        <v>00000000</v>
      </c>
      <c r="I3770" t="s">
        <v>35</v>
      </c>
      <c r="J3770"/>
      <c r="K3770">
        <v>14.68</v>
      </c>
      <c r="L3770">
        <v>0.0</v>
      </c>
      <c r="M3770"/>
      <c r="N3770"/>
      <c r="O3770">
        <v>2.64</v>
      </c>
      <c r="P3770">
        <v>0.2</v>
      </c>
      <c r="Q3770">
        <v>17.52</v>
      </c>
      <c r="R3770"/>
      <c r="S3770"/>
      <c r="T3770"/>
      <c r="U3770"/>
      <c r="V3770"/>
      <c r="W3770">
        <v>18</v>
      </c>
    </row>
    <row r="3771" spans="1:23">
      <c r="A3771"/>
      <c r="B3771" t="s">
        <v>86</v>
      </c>
      <c r="C3771" t="s">
        <v>86</v>
      </c>
      <c r="D3771" t="s">
        <v>33</v>
      </c>
      <c r="E3771" t="s">
        <v>34</v>
      </c>
      <c r="F3771" t="str">
        <f>"0004065"</f>
        <v>0004065</v>
      </c>
      <c r="G3771">
        <v>1</v>
      </c>
      <c r="H3771" t="str">
        <f>"00000000"</f>
        <v>00000000</v>
      </c>
      <c r="I3771" t="s">
        <v>35</v>
      </c>
      <c r="J3771"/>
      <c r="K3771">
        <v>3.81</v>
      </c>
      <c r="L3771">
        <v>0.0</v>
      </c>
      <c r="M3771"/>
      <c r="N3771"/>
      <c r="O3771">
        <v>0.69</v>
      </c>
      <c r="P3771">
        <v>0.0</v>
      </c>
      <c r="Q3771">
        <v>4.5</v>
      </c>
      <c r="R3771"/>
      <c r="S3771"/>
      <c r="T3771"/>
      <c r="U3771"/>
      <c r="V3771"/>
      <c r="W3771">
        <v>18</v>
      </c>
    </row>
    <row r="3772" spans="1:23">
      <c r="A3772"/>
      <c r="B3772" t="s">
        <v>86</v>
      </c>
      <c r="C3772" t="s">
        <v>86</v>
      </c>
      <c r="D3772" t="s">
        <v>33</v>
      </c>
      <c r="E3772" t="s">
        <v>34</v>
      </c>
      <c r="F3772" t="str">
        <f>"0004066"</f>
        <v>0004066</v>
      </c>
      <c r="G3772">
        <v>1</v>
      </c>
      <c r="H3772" t="str">
        <f>"00000000"</f>
        <v>00000000</v>
      </c>
      <c r="I3772" t="s">
        <v>35</v>
      </c>
      <c r="J3772"/>
      <c r="K3772">
        <v>2.54</v>
      </c>
      <c r="L3772">
        <v>0.0</v>
      </c>
      <c r="M3772"/>
      <c r="N3772"/>
      <c r="O3772">
        <v>0.46</v>
      </c>
      <c r="P3772">
        <v>0.0</v>
      </c>
      <c r="Q3772">
        <v>3.0</v>
      </c>
      <c r="R3772"/>
      <c r="S3772"/>
      <c r="T3772"/>
      <c r="U3772"/>
      <c r="V3772"/>
      <c r="W3772">
        <v>18</v>
      </c>
    </row>
    <row r="3773" spans="1:23">
      <c r="A3773"/>
      <c r="B3773" t="s">
        <v>86</v>
      </c>
      <c r="C3773" t="s">
        <v>86</v>
      </c>
      <c r="D3773" t="s">
        <v>33</v>
      </c>
      <c r="E3773" t="s">
        <v>34</v>
      </c>
      <c r="F3773" t="str">
        <f>"0004067"</f>
        <v>0004067</v>
      </c>
      <c r="G3773">
        <v>1</v>
      </c>
      <c r="H3773" t="str">
        <f>"00000000"</f>
        <v>00000000</v>
      </c>
      <c r="I3773" t="s">
        <v>35</v>
      </c>
      <c r="J3773"/>
      <c r="K3773">
        <v>1.31</v>
      </c>
      <c r="L3773">
        <v>11.4</v>
      </c>
      <c r="M3773"/>
      <c r="N3773"/>
      <c r="O3773">
        <v>0.24</v>
      </c>
      <c r="P3773">
        <v>0.0</v>
      </c>
      <c r="Q3773">
        <v>12.94</v>
      </c>
      <c r="R3773"/>
      <c r="S3773"/>
      <c r="T3773"/>
      <c r="U3773"/>
      <c r="V3773"/>
      <c r="W3773">
        <v>18</v>
      </c>
    </row>
    <row r="3774" spans="1:23">
      <c r="A3774"/>
      <c r="B3774" t="s">
        <v>86</v>
      </c>
      <c r="C3774" t="s">
        <v>86</v>
      </c>
      <c r="D3774" t="s">
        <v>33</v>
      </c>
      <c r="E3774" t="s">
        <v>34</v>
      </c>
      <c r="F3774" t="str">
        <f>"0004068"</f>
        <v>0004068</v>
      </c>
      <c r="G3774">
        <v>1</v>
      </c>
      <c r="H3774" t="str">
        <f>"00000000"</f>
        <v>00000000</v>
      </c>
      <c r="I3774" t="s">
        <v>35</v>
      </c>
      <c r="J3774"/>
      <c r="K3774">
        <v>3.24</v>
      </c>
      <c r="L3774">
        <v>0.0</v>
      </c>
      <c r="M3774"/>
      <c r="N3774"/>
      <c r="O3774">
        <v>0.58</v>
      </c>
      <c r="P3774">
        <v>0.0</v>
      </c>
      <c r="Q3774">
        <v>3.82</v>
      </c>
      <c r="R3774"/>
      <c r="S3774"/>
      <c r="T3774"/>
      <c r="U3774"/>
      <c r="V3774"/>
      <c r="W3774">
        <v>18</v>
      </c>
    </row>
    <row r="3775" spans="1:23">
      <c r="A3775"/>
      <c r="B3775" t="s">
        <v>86</v>
      </c>
      <c r="C3775" t="s">
        <v>86</v>
      </c>
      <c r="D3775" t="s">
        <v>33</v>
      </c>
      <c r="E3775" t="s">
        <v>34</v>
      </c>
      <c r="F3775" t="str">
        <f>"0004069"</f>
        <v>0004069</v>
      </c>
      <c r="G3775">
        <v>1</v>
      </c>
      <c r="H3775" t="str">
        <f>"00000000"</f>
        <v>00000000</v>
      </c>
      <c r="I3775" t="s">
        <v>35</v>
      </c>
      <c r="J3775"/>
      <c r="K3775">
        <v>2.97</v>
      </c>
      <c r="L3775">
        <v>0.0</v>
      </c>
      <c r="M3775"/>
      <c r="N3775"/>
      <c r="O3775">
        <v>0.53</v>
      </c>
      <c r="P3775">
        <v>0.0</v>
      </c>
      <c r="Q3775">
        <v>3.5</v>
      </c>
      <c r="R3775"/>
      <c r="S3775"/>
      <c r="T3775"/>
      <c r="U3775"/>
      <c r="V3775"/>
      <c r="W3775">
        <v>18</v>
      </c>
    </row>
    <row r="3776" spans="1:23">
      <c r="A3776"/>
      <c r="B3776" t="s">
        <v>86</v>
      </c>
      <c r="C3776" t="s">
        <v>86</v>
      </c>
      <c r="D3776" t="s">
        <v>33</v>
      </c>
      <c r="E3776" t="s">
        <v>34</v>
      </c>
      <c r="F3776" t="str">
        <f>"0004070"</f>
        <v>0004070</v>
      </c>
      <c r="G3776">
        <v>1</v>
      </c>
      <c r="H3776" t="str">
        <f>"00000000"</f>
        <v>00000000</v>
      </c>
      <c r="I3776" t="s">
        <v>35</v>
      </c>
      <c r="J3776"/>
      <c r="K3776">
        <v>17.39</v>
      </c>
      <c r="L3776">
        <v>0.0</v>
      </c>
      <c r="M3776"/>
      <c r="N3776"/>
      <c r="O3776">
        <v>3.13</v>
      </c>
      <c r="P3776">
        <v>0.2</v>
      </c>
      <c r="Q3776">
        <v>20.72</v>
      </c>
      <c r="R3776"/>
      <c r="S3776"/>
      <c r="T3776"/>
      <c r="U3776"/>
      <c r="V3776"/>
      <c r="W3776">
        <v>18</v>
      </c>
    </row>
    <row r="3777" spans="1:23">
      <c r="A3777"/>
      <c r="B3777" t="s">
        <v>86</v>
      </c>
      <c r="C3777" t="s">
        <v>86</v>
      </c>
      <c r="D3777" t="s">
        <v>33</v>
      </c>
      <c r="E3777" t="s">
        <v>34</v>
      </c>
      <c r="F3777" t="str">
        <f>"0004071"</f>
        <v>0004071</v>
      </c>
      <c r="G3777">
        <v>1</v>
      </c>
      <c r="H3777" t="str">
        <f>"00000000"</f>
        <v>00000000</v>
      </c>
      <c r="I3777" t="s">
        <v>35</v>
      </c>
      <c r="J3777"/>
      <c r="K3777">
        <v>9.59</v>
      </c>
      <c r="L3777">
        <v>6.67</v>
      </c>
      <c r="M3777"/>
      <c r="N3777"/>
      <c r="O3777">
        <v>1.73</v>
      </c>
      <c r="P3777">
        <v>0.2</v>
      </c>
      <c r="Q3777">
        <v>18.19</v>
      </c>
      <c r="R3777"/>
      <c r="S3777"/>
      <c r="T3777"/>
      <c r="U3777"/>
      <c r="V3777"/>
      <c r="W3777">
        <v>18</v>
      </c>
    </row>
    <row r="3778" spans="1:23">
      <c r="A3778"/>
      <c r="B3778" t="s">
        <v>86</v>
      </c>
      <c r="C3778" t="s">
        <v>86</v>
      </c>
      <c r="D3778" t="s">
        <v>33</v>
      </c>
      <c r="E3778" t="s">
        <v>34</v>
      </c>
      <c r="F3778" t="str">
        <f>"0004072"</f>
        <v>0004072</v>
      </c>
      <c r="G3778">
        <v>1</v>
      </c>
      <c r="H3778" t="str">
        <f>"00000000"</f>
        <v>00000000</v>
      </c>
      <c r="I3778" t="s">
        <v>35</v>
      </c>
      <c r="J3778"/>
      <c r="K3778">
        <v>11.8</v>
      </c>
      <c r="L3778">
        <v>3.91</v>
      </c>
      <c r="M3778"/>
      <c r="N3778"/>
      <c r="O3778">
        <v>2.12</v>
      </c>
      <c r="P3778">
        <v>0.2</v>
      </c>
      <c r="Q3778">
        <v>18.03</v>
      </c>
      <c r="R3778"/>
      <c r="S3778"/>
      <c r="T3778"/>
      <c r="U3778"/>
      <c r="V3778"/>
      <c r="W3778">
        <v>18</v>
      </c>
    </row>
    <row r="3779" spans="1:23">
      <c r="A3779"/>
      <c r="B3779" t="s">
        <v>86</v>
      </c>
      <c r="C3779" t="s">
        <v>86</v>
      </c>
      <c r="D3779" t="s">
        <v>33</v>
      </c>
      <c r="E3779" t="s">
        <v>34</v>
      </c>
      <c r="F3779" t="str">
        <f>"0004073"</f>
        <v>0004073</v>
      </c>
      <c r="G3779">
        <v>1</v>
      </c>
      <c r="H3779" t="str">
        <f>"00000000"</f>
        <v>00000000</v>
      </c>
      <c r="I3779" t="s">
        <v>35</v>
      </c>
      <c r="J3779"/>
      <c r="K3779">
        <v>19.42</v>
      </c>
      <c r="L3779">
        <v>6.36</v>
      </c>
      <c r="M3779"/>
      <c r="N3779"/>
      <c r="O3779">
        <v>3.49</v>
      </c>
      <c r="P3779">
        <v>0.2</v>
      </c>
      <c r="Q3779">
        <v>29.47</v>
      </c>
      <c r="R3779"/>
      <c r="S3779"/>
      <c r="T3779"/>
      <c r="U3779"/>
      <c r="V3779"/>
      <c r="W3779">
        <v>18</v>
      </c>
    </row>
    <row r="3780" spans="1:23">
      <c r="A3780"/>
      <c r="B3780" t="s">
        <v>86</v>
      </c>
      <c r="C3780" t="s">
        <v>86</v>
      </c>
      <c r="D3780" t="s">
        <v>33</v>
      </c>
      <c r="E3780" t="s">
        <v>34</v>
      </c>
      <c r="F3780" t="str">
        <f>"0004074"</f>
        <v>0004074</v>
      </c>
      <c r="G3780">
        <v>1</v>
      </c>
      <c r="H3780" t="str">
        <f>"00000000"</f>
        <v>00000000</v>
      </c>
      <c r="I3780" t="s">
        <v>35</v>
      </c>
      <c r="J3780"/>
      <c r="K3780">
        <v>7.97</v>
      </c>
      <c r="L3780">
        <v>0.0</v>
      </c>
      <c r="M3780"/>
      <c r="N3780"/>
      <c r="O3780">
        <v>1.43</v>
      </c>
      <c r="P3780">
        <v>0.0</v>
      </c>
      <c r="Q3780">
        <v>9.4</v>
      </c>
      <c r="R3780"/>
      <c r="S3780"/>
      <c r="T3780"/>
      <c r="U3780"/>
      <c r="V3780"/>
      <c r="W3780">
        <v>18</v>
      </c>
    </row>
    <row r="3781" spans="1:23">
      <c r="A3781"/>
      <c r="B3781" t="s">
        <v>86</v>
      </c>
      <c r="C3781" t="s">
        <v>86</v>
      </c>
      <c r="D3781" t="s">
        <v>33</v>
      </c>
      <c r="E3781" t="s">
        <v>34</v>
      </c>
      <c r="F3781" t="str">
        <f>"0004075"</f>
        <v>0004075</v>
      </c>
      <c r="G3781">
        <v>1</v>
      </c>
      <c r="H3781" t="str">
        <f>"00000000"</f>
        <v>00000000</v>
      </c>
      <c r="I3781" t="s">
        <v>35</v>
      </c>
      <c r="J3781"/>
      <c r="K3781">
        <v>13.49</v>
      </c>
      <c r="L3781">
        <v>0.0</v>
      </c>
      <c r="M3781"/>
      <c r="N3781"/>
      <c r="O3781">
        <v>2.43</v>
      </c>
      <c r="P3781">
        <v>0.2</v>
      </c>
      <c r="Q3781">
        <v>16.12</v>
      </c>
      <c r="R3781"/>
      <c r="S3781"/>
      <c r="T3781"/>
      <c r="U3781"/>
      <c r="V3781"/>
      <c r="W3781">
        <v>18</v>
      </c>
    </row>
    <row r="3782" spans="1:23">
      <c r="A3782"/>
      <c r="B3782" t="s">
        <v>86</v>
      </c>
      <c r="C3782" t="s">
        <v>86</v>
      </c>
      <c r="D3782" t="s">
        <v>33</v>
      </c>
      <c r="E3782" t="s">
        <v>34</v>
      </c>
      <c r="F3782" t="str">
        <f>"0004076"</f>
        <v>0004076</v>
      </c>
      <c r="G3782">
        <v>1</v>
      </c>
      <c r="H3782" t="str">
        <f>"00000000"</f>
        <v>00000000</v>
      </c>
      <c r="I3782" t="s">
        <v>35</v>
      </c>
      <c r="J3782"/>
      <c r="K3782">
        <v>0.0</v>
      </c>
      <c r="L3782">
        <v>14.23</v>
      </c>
      <c r="M3782"/>
      <c r="N3782"/>
      <c r="O3782">
        <v>0.0</v>
      </c>
      <c r="P3782">
        <v>0.0</v>
      </c>
      <c r="Q3782">
        <v>14.23</v>
      </c>
      <c r="R3782"/>
      <c r="S3782"/>
      <c r="T3782"/>
      <c r="U3782"/>
      <c r="V3782"/>
      <c r="W3782">
        <v>18</v>
      </c>
    </row>
    <row r="3783" spans="1:23">
      <c r="A3783"/>
      <c r="B3783" t="s">
        <v>86</v>
      </c>
      <c r="C3783" t="s">
        <v>86</v>
      </c>
      <c r="D3783" t="s">
        <v>33</v>
      </c>
      <c r="E3783" t="s">
        <v>34</v>
      </c>
      <c r="F3783" t="str">
        <f>"0004077"</f>
        <v>0004077</v>
      </c>
      <c r="G3783">
        <v>1</v>
      </c>
      <c r="H3783" t="str">
        <f>"00000000"</f>
        <v>00000000</v>
      </c>
      <c r="I3783" t="s">
        <v>35</v>
      </c>
      <c r="J3783"/>
      <c r="K3783">
        <v>5.12</v>
      </c>
      <c r="L3783">
        <v>63.22</v>
      </c>
      <c r="M3783"/>
      <c r="N3783"/>
      <c r="O3783">
        <v>0.92</v>
      </c>
      <c r="P3783">
        <v>0.4</v>
      </c>
      <c r="Q3783">
        <v>69.66</v>
      </c>
      <c r="R3783"/>
      <c r="S3783"/>
      <c r="T3783"/>
      <c r="U3783"/>
      <c r="V3783"/>
      <c r="W3783">
        <v>18</v>
      </c>
    </row>
    <row r="3784" spans="1:23">
      <c r="A3784"/>
      <c r="B3784" t="s">
        <v>86</v>
      </c>
      <c r="C3784" t="s">
        <v>86</v>
      </c>
      <c r="D3784" t="s">
        <v>33</v>
      </c>
      <c r="E3784" t="s">
        <v>34</v>
      </c>
      <c r="F3784" t="str">
        <f>"0004078"</f>
        <v>0004078</v>
      </c>
      <c r="G3784">
        <v>1</v>
      </c>
      <c r="H3784" t="str">
        <f>"00000000"</f>
        <v>00000000</v>
      </c>
      <c r="I3784" t="s">
        <v>35</v>
      </c>
      <c r="J3784"/>
      <c r="K3784">
        <v>0.82</v>
      </c>
      <c r="L3784">
        <v>2.92</v>
      </c>
      <c r="M3784"/>
      <c r="N3784"/>
      <c r="O3784">
        <v>0.15</v>
      </c>
      <c r="P3784">
        <v>0.2</v>
      </c>
      <c r="Q3784">
        <v>4.09</v>
      </c>
      <c r="R3784"/>
      <c r="S3784"/>
      <c r="T3784"/>
      <c r="U3784"/>
      <c r="V3784"/>
      <c r="W3784">
        <v>18</v>
      </c>
    </row>
    <row r="3785" spans="1:23">
      <c r="A3785"/>
      <c r="B3785" t="s">
        <v>86</v>
      </c>
      <c r="C3785" t="s">
        <v>86</v>
      </c>
      <c r="D3785" t="s">
        <v>33</v>
      </c>
      <c r="E3785" t="s">
        <v>34</v>
      </c>
      <c r="F3785" t="str">
        <f>"0004079"</f>
        <v>0004079</v>
      </c>
      <c r="G3785">
        <v>1</v>
      </c>
      <c r="H3785" t="str">
        <f>"00000000"</f>
        <v>00000000</v>
      </c>
      <c r="I3785" t="s">
        <v>35</v>
      </c>
      <c r="J3785"/>
      <c r="K3785">
        <v>1.02</v>
      </c>
      <c r="L3785">
        <v>0.0</v>
      </c>
      <c r="M3785"/>
      <c r="N3785"/>
      <c r="O3785">
        <v>0.18</v>
      </c>
      <c r="P3785">
        <v>0.0</v>
      </c>
      <c r="Q3785">
        <v>1.2</v>
      </c>
      <c r="R3785"/>
      <c r="S3785"/>
      <c r="T3785"/>
      <c r="U3785"/>
      <c r="V3785"/>
      <c r="W3785">
        <v>18</v>
      </c>
    </row>
    <row r="3786" spans="1:23">
      <c r="A3786"/>
      <c r="B3786" t="s">
        <v>86</v>
      </c>
      <c r="C3786" t="s">
        <v>86</v>
      </c>
      <c r="D3786" t="s">
        <v>33</v>
      </c>
      <c r="E3786" t="s">
        <v>34</v>
      </c>
      <c r="F3786" t="str">
        <f>"0004080"</f>
        <v>0004080</v>
      </c>
      <c r="G3786">
        <v>1</v>
      </c>
      <c r="H3786" t="str">
        <f>"00000000"</f>
        <v>00000000</v>
      </c>
      <c r="I3786" t="s">
        <v>35</v>
      </c>
      <c r="J3786"/>
      <c r="K3786">
        <v>18.15</v>
      </c>
      <c r="L3786">
        <v>27.9</v>
      </c>
      <c r="M3786"/>
      <c r="N3786"/>
      <c r="O3786">
        <v>3.27</v>
      </c>
      <c r="P3786">
        <v>0.2</v>
      </c>
      <c r="Q3786">
        <v>49.52</v>
      </c>
      <c r="R3786"/>
      <c r="S3786"/>
      <c r="T3786"/>
      <c r="U3786"/>
      <c r="V3786"/>
      <c r="W3786">
        <v>18</v>
      </c>
    </row>
    <row r="3787" spans="1:23">
      <c r="A3787"/>
      <c r="B3787" t="s">
        <v>86</v>
      </c>
      <c r="C3787" t="s">
        <v>86</v>
      </c>
      <c r="D3787" t="s">
        <v>33</v>
      </c>
      <c r="E3787" t="s">
        <v>34</v>
      </c>
      <c r="F3787" t="str">
        <f>"0004081"</f>
        <v>0004081</v>
      </c>
      <c r="G3787">
        <v>1</v>
      </c>
      <c r="H3787" t="str">
        <f>"00000000"</f>
        <v>00000000</v>
      </c>
      <c r="I3787" t="s">
        <v>35</v>
      </c>
      <c r="J3787"/>
      <c r="K3787">
        <v>4.76</v>
      </c>
      <c r="L3787">
        <v>11.48</v>
      </c>
      <c r="M3787"/>
      <c r="N3787"/>
      <c r="O3787">
        <v>0.86</v>
      </c>
      <c r="P3787">
        <v>0.2</v>
      </c>
      <c r="Q3787">
        <v>17.3</v>
      </c>
      <c r="R3787"/>
      <c r="S3787"/>
      <c r="T3787"/>
      <c r="U3787"/>
      <c r="V3787"/>
      <c r="W3787">
        <v>18</v>
      </c>
    </row>
    <row r="3788" spans="1:23">
      <c r="A3788"/>
      <c r="B3788" t="s">
        <v>86</v>
      </c>
      <c r="C3788" t="s">
        <v>86</v>
      </c>
      <c r="D3788" t="s">
        <v>33</v>
      </c>
      <c r="E3788" t="s">
        <v>34</v>
      </c>
      <c r="F3788" t="str">
        <f>"0004082"</f>
        <v>0004082</v>
      </c>
      <c r="G3788">
        <v>1</v>
      </c>
      <c r="H3788" t="str">
        <f>"00000000"</f>
        <v>00000000</v>
      </c>
      <c r="I3788" t="s">
        <v>35</v>
      </c>
      <c r="J3788"/>
      <c r="K3788">
        <v>0.0</v>
      </c>
      <c r="L3788">
        <v>8.06</v>
      </c>
      <c r="M3788"/>
      <c r="N3788"/>
      <c r="O3788">
        <v>0.0</v>
      </c>
      <c r="P3788">
        <v>0.0</v>
      </c>
      <c r="Q3788">
        <v>8.06</v>
      </c>
      <c r="R3788"/>
      <c r="S3788"/>
      <c r="T3788"/>
      <c r="U3788"/>
      <c r="V3788"/>
      <c r="W3788">
        <v>18</v>
      </c>
    </row>
    <row r="3789" spans="1:23">
      <c r="A3789"/>
      <c r="B3789" t="s">
        <v>86</v>
      </c>
      <c r="C3789" t="s">
        <v>86</v>
      </c>
      <c r="D3789" t="s">
        <v>33</v>
      </c>
      <c r="E3789" t="s">
        <v>34</v>
      </c>
      <c r="F3789" t="str">
        <f>"0004083"</f>
        <v>0004083</v>
      </c>
      <c r="G3789">
        <v>1</v>
      </c>
      <c r="H3789" t="str">
        <f>"00000000"</f>
        <v>00000000</v>
      </c>
      <c r="I3789" t="s">
        <v>35</v>
      </c>
      <c r="J3789"/>
      <c r="K3789">
        <v>9.07</v>
      </c>
      <c r="L3789">
        <v>0.0</v>
      </c>
      <c r="M3789"/>
      <c r="N3789"/>
      <c r="O3789">
        <v>1.63</v>
      </c>
      <c r="P3789">
        <v>0.0</v>
      </c>
      <c r="Q3789">
        <v>10.7</v>
      </c>
      <c r="R3789"/>
      <c r="S3789"/>
      <c r="T3789"/>
      <c r="U3789"/>
      <c r="V3789"/>
      <c r="W3789">
        <v>18</v>
      </c>
    </row>
    <row r="3790" spans="1:23">
      <c r="A3790"/>
      <c r="B3790" t="s">
        <v>86</v>
      </c>
      <c r="C3790" t="s">
        <v>86</v>
      </c>
      <c r="D3790" t="s">
        <v>33</v>
      </c>
      <c r="E3790" t="s">
        <v>34</v>
      </c>
      <c r="F3790" t="str">
        <f>"0004084"</f>
        <v>0004084</v>
      </c>
      <c r="G3790">
        <v>1</v>
      </c>
      <c r="H3790" t="str">
        <f>"00000000"</f>
        <v>00000000</v>
      </c>
      <c r="I3790" t="s">
        <v>35</v>
      </c>
      <c r="J3790"/>
      <c r="K3790">
        <v>0.02</v>
      </c>
      <c r="L3790">
        <v>0.0</v>
      </c>
      <c r="M3790"/>
      <c r="N3790"/>
      <c r="O3790">
        <v>0.0</v>
      </c>
      <c r="P3790">
        <v>0.2</v>
      </c>
      <c r="Q3790">
        <v>0.22</v>
      </c>
      <c r="R3790"/>
      <c r="S3790"/>
      <c r="T3790"/>
      <c r="U3790"/>
      <c r="V3790"/>
      <c r="W3790">
        <v>18</v>
      </c>
    </row>
    <row r="3791" spans="1:23">
      <c r="A3791"/>
      <c r="B3791" t="s">
        <v>86</v>
      </c>
      <c r="C3791" t="s">
        <v>86</v>
      </c>
      <c r="D3791" t="s">
        <v>33</v>
      </c>
      <c r="E3791" t="s">
        <v>34</v>
      </c>
      <c r="F3791" t="str">
        <f>"0004085"</f>
        <v>0004085</v>
      </c>
      <c r="G3791">
        <v>1</v>
      </c>
      <c r="H3791" t="str">
        <f>"00000000"</f>
        <v>00000000</v>
      </c>
      <c r="I3791" t="s">
        <v>35</v>
      </c>
      <c r="J3791"/>
      <c r="K3791">
        <v>24.0</v>
      </c>
      <c r="L3791">
        <v>0.0</v>
      </c>
      <c r="M3791"/>
      <c r="N3791"/>
      <c r="O3791">
        <v>4.32</v>
      </c>
      <c r="P3791">
        <v>0.2</v>
      </c>
      <c r="Q3791">
        <v>28.52</v>
      </c>
      <c r="R3791"/>
      <c r="S3791"/>
      <c r="T3791"/>
      <c r="U3791"/>
      <c r="V3791"/>
      <c r="W3791">
        <v>18</v>
      </c>
    </row>
    <row r="3792" spans="1:23">
      <c r="A3792"/>
      <c r="B3792" t="s">
        <v>86</v>
      </c>
      <c r="C3792" t="s">
        <v>86</v>
      </c>
      <c r="D3792" t="s">
        <v>33</v>
      </c>
      <c r="E3792" t="s">
        <v>34</v>
      </c>
      <c r="F3792" t="str">
        <f>"0004086"</f>
        <v>0004086</v>
      </c>
      <c r="G3792">
        <v>1</v>
      </c>
      <c r="H3792" t="str">
        <f>"00000000"</f>
        <v>00000000</v>
      </c>
      <c r="I3792" t="s">
        <v>35</v>
      </c>
      <c r="J3792"/>
      <c r="K3792">
        <v>24.83</v>
      </c>
      <c r="L3792">
        <v>0.0</v>
      </c>
      <c r="M3792"/>
      <c r="N3792"/>
      <c r="O3792">
        <v>4.47</v>
      </c>
      <c r="P3792">
        <v>0.0</v>
      </c>
      <c r="Q3792">
        <v>29.3</v>
      </c>
      <c r="R3792"/>
      <c r="S3792"/>
      <c r="T3792"/>
      <c r="U3792"/>
      <c r="V3792"/>
      <c r="W3792">
        <v>18</v>
      </c>
    </row>
    <row r="3793" spans="1:23">
      <c r="A3793"/>
      <c r="B3793" t="s">
        <v>86</v>
      </c>
      <c r="C3793" t="s">
        <v>86</v>
      </c>
      <c r="D3793" t="s">
        <v>33</v>
      </c>
      <c r="E3793" t="s">
        <v>34</v>
      </c>
      <c r="F3793" t="str">
        <f>"0004087"</f>
        <v>0004087</v>
      </c>
      <c r="G3793">
        <v>1</v>
      </c>
      <c r="H3793" t="str">
        <f>"00000000"</f>
        <v>00000000</v>
      </c>
      <c r="I3793" t="s">
        <v>35</v>
      </c>
      <c r="J3793"/>
      <c r="K3793">
        <v>10.93</v>
      </c>
      <c r="L3793">
        <v>0.0</v>
      </c>
      <c r="M3793"/>
      <c r="N3793"/>
      <c r="O3793">
        <v>1.97</v>
      </c>
      <c r="P3793">
        <v>0.0</v>
      </c>
      <c r="Q3793">
        <v>12.9</v>
      </c>
      <c r="R3793"/>
      <c r="S3793"/>
      <c r="T3793"/>
      <c r="U3793"/>
      <c r="V3793"/>
      <c r="W3793">
        <v>18</v>
      </c>
    </row>
    <row r="3794" spans="1:23">
      <c r="A3794"/>
      <c r="B3794" t="s">
        <v>86</v>
      </c>
      <c r="C3794" t="s">
        <v>86</v>
      </c>
      <c r="D3794" t="s">
        <v>33</v>
      </c>
      <c r="E3794" t="s">
        <v>34</v>
      </c>
      <c r="F3794" t="str">
        <f>"0004088"</f>
        <v>0004088</v>
      </c>
      <c r="G3794">
        <v>1</v>
      </c>
      <c r="H3794" t="str">
        <f>"00000000"</f>
        <v>00000000</v>
      </c>
      <c r="I3794" t="s">
        <v>35</v>
      </c>
      <c r="J3794"/>
      <c r="K3794">
        <v>3.05</v>
      </c>
      <c r="L3794">
        <v>0.0</v>
      </c>
      <c r="M3794"/>
      <c r="N3794"/>
      <c r="O3794">
        <v>0.55</v>
      </c>
      <c r="P3794">
        <v>0.0</v>
      </c>
      <c r="Q3794">
        <v>3.6</v>
      </c>
      <c r="R3794"/>
      <c r="S3794"/>
      <c r="T3794"/>
      <c r="U3794"/>
      <c r="V3794"/>
      <c r="W3794">
        <v>18</v>
      </c>
    </row>
    <row r="3795" spans="1:23">
      <c r="A3795"/>
      <c r="B3795" t="s">
        <v>86</v>
      </c>
      <c r="C3795" t="s">
        <v>86</v>
      </c>
      <c r="D3795" t="s">
        <v>33</v>
      </c>
      <c r="E3795" t="s">
        <v>34</v>
      </c>
      <c r="F3795" t="str">
        <f>"0004089"</f>
        <v>0004089</v>
      </c>
      <c r="G3795">
        <v>1</v>
      </c>
      <c r="H3795" t="str">
        <f>"00000000"</f>
        <v>00000000</v>
      </c>
      <c r="I3795" t="s">
        <v>35</v>
      </c>
      <c r="J3795"/>
      <c r="K3795">
        <v>10.59</v>
      </c>
      <c r="L3795">
        <v>0.0</v>
      </c>
      <c r="M3795"/>
      <c r="N3795"/>
      <c r="O3795">
        <v>1.91</v>
      </c>
      <c r="P3795">
        <v>0.0</v>
      </c>
      <c r="Q3795">
        <v>12.5</v>
      </c>
      <c r="R3795"/>
      <c r="S3795"/>
      <c r="T3795"/>
      <c r="U3795"/>
      <c r="V3795"/>
      <c r="W3795">
        <v>18</v>
      </c>
    </row>
    <row r="3796" spans="1:23">
      <c r="A3796"/>
      <c r="B3796" t="s">
        <v>86</v>
      </c>
      <c r="C3796" t="s">
        <v>86</v>
      </c>
      <c r="D3796" t="s">
        <v>33</v>
      </c>
      <c r="E3796" t="s">
        <v>34</v>
      </c>
      <c r="F3796" t="str">
        <f>"0004090"</f>
        <v>0004090</v>
      </c>
      <c r="G3796">
        <v>1</v>
      </c>
      <c r="H3796" t="str">
        <f>"00000000"</f>
        <v>00000000</v>
      </c>
      <c r="I3796" t="s">
        <v>35</v>
      </c>
      <c r="J3796"/>
      <c r="K3796">
        <v>22.88</v>
      </c>
      <c r="L3796">
        <v>0.0</v>
      </c>
      <c r="M3796"/>
      <c r="N3796"/>
      <c r="O3796">
        <v>4.12</v>
      </c>
      <c r="P3796">
        <v>0.0</v>
      </c>
      <c r="Q3796">
        <v>27.0</v>
      </c>
      <c r="R3796"/>
      <c r="S3796"/>
      <c r="T3796"/>
      <c r="U3796"/>
      <c r="V3796"/>
      <c r="W3796">
        <v>18</v>
      </c>
    </row>
    <row r="3797" spans="1:23">
      <c r="A3797"/>
      <c r="B3797" t="s">
        <v>86</v>
      </c>
      <c r="C3797" t="s">
        <v>86</v>
      </c>
      <c r="D3797" t="s">
        <v>33</v>
      </c>
      <c r="E3797" t="s">
        <v>34</v>
      </c>
      <c r="F3797" t="str">
        <f>"0004091"</f>
        <v>0004091</v>
      </c>
      <c r="G3797">
        <v>1</v>
      </c>
      <c r="H3797" t="str">
        <f>"00000000"</f>
        <v>00000000</v>
      </c>
      <c r="I3797" t="s">
        <v>35</v>
      </c>
      <c r="J3797"/>
      <c r="K3797">
        <v>0.02</v>
      </c>
      <c r="L3797">
        <v>0.0</v>
      </c>
      <c r="M3797"/>
      <c r="N3797"/>
      <c r="O3797">
        <v>0.0</v>
      </c>
      <c r="P3797">
        <v>0.2</v>
      </c>
      <c r="Q3797">
        <v>0.22</v>
      </c>
      <c r="R3797"/>
      <c r="S3797"/>
      <c r="T3797"/>
      <c r="U3797"/>
      <c r="V3797"/>
      <c r="W3797">
        <v>18</v>
      </c>
    </row>
    <row r="3798" spans="1:23">
      <c r="A3798"/>
      <c r="B3798" t="s">
        <v>86</v>
      </c>
      <c r="C3798" t="s">
        <v>86</v>
      </c>
      <c r="D3798" t="s">
        <v>33</v>
      </c>
      <c r="E3798" t="s">
        <v>34</v>
      </c>
      <c r="F3798" t="str">
        <f>"0004092"</f>
        <v>0004092</v>
      </c>
      <c r="G3798">
        <v>1</v>
      </c>
      <c r="H3798" t="str">
        <f>"00000000"</f>
        <v>00000000</v>
      </c>
      <c r="I3798" t="s">
        <v>35</v>
      </c>
      <c r="J3798"/>
      <c r="K3798">
        <v>0.0</v>
      </c>
      <c r="L3798">
        <v>2.14</v>
      </c>
      <c r="M3798"/>
      <c r="N3798"/>
      <c r="O3798">
        <v>0.0</v>
      </c>
      <c r="P3798">
        <v>0.0</v>
      </c>
      <c r="Q3798">
        <v>2.14</v>
      </c>
      <c r="R3798"/>
      <c r="S3798"/>
      <c r="T3798"/>
      <c r="U3798"/>
      <c r="V3798"/>
      <c r="W3798">
        <v>18</v>
      </c>
    </row>
    <row r="3799" spans="1:23">
      <c r="A3799"/>
      <c r="B3799" t="s">
        <v>86</v>
      </c>
      <c r="C3799" t="s">
        <v>86</v>
      </c>
      <c r="D3799" t="s">
        <v>33</v>
      </c>
      <c r="E3799" t="s">
        <v>34</v>
      </c>
      <c r="F3799" t="str">
        <f>"0004093"</f>
        <v>0004093</v>
      </c>
      <c r="G3799">
        <v>1</v>
      </c>
      <c r="H3799" t="str">
        <f>"00000000"</f>
        <v>00000000</v>
      </c>
      <c r="I3799" t="s">
        <v>35</v>
      </c>
      <c r="J3799"/>
      <c r="K3799">
        <v>4.15</v>
      </c>
      <c r="L3799">
        <v>0.0</v>
      </c>
      <c r="M3799"/>
      <c r="N3799"/>
      <c r="O3799">
        <v>0.75</v>
      </c>
      <c r="P3799">
        <v>0.0</v>
      </c>
      <c r="Q3799">
        <v>4.9</v>
      </c>
      <c r="R3799"/>
      <c r="S3799"/>
      <c r="T3799"/>
      <c r="U3799"/>
      <c r="V3799"/>
      <c r="W3799">
        <v>18</v>
      </c>
    </row>
    <row r="3800" spans="1:23">
      <c r="A3800"/>
      <c r="B3800" t="s">
        <v>86</v>
      </c>
      <c r="C3800" t="s">
        <v>86</v>
      </c>
      <c r="D3800" t="s">
        <v>33</v>
      </c>
      <c r="E3800" t="s">
        <v>34</v>
      </c>
      <c r="F3800" t="str">
        <f>"0004094"</f>
        <v>0004094</v>
      </c>
      <c r="G3800">
        <v>1</v>
      </c>
      <c r="H3800" t="str">
        <f>"00000000"</f>
        <v>00000000</v>
      </c>
      <c r="I3800" t="s">
        <v>35</v>
      </c>
      <c r="J3800"/>
      <c r="K3800">
        <v>23.47</v>
      </c>
      <c r="L3800">
        <v>0.0</v>
      </c>
      <c r="M3800"/>
      <c r="N3800"/>
      <c r="O3800">
        <v>4.23</v>
      </c>
      <c r="P3800">
        <v>0.0</v>
      </c>
      <c r="Q3800">
        <v>27.7</v>
      </c>
      <c r="R3800"/>
      <c r="S3800"/>
      <c r="T3800"/>
      <c r="U3800"/>
      <c r="V3800"/>
      <c r="W3800">
        <v>18</v>
      </c>
    </row>
    <row r="3801" spans="1:23">
      <c r="A3801"/>
      <c r="B3801" t="s">
        <v>86</v>
      </c>
      <c r="C3801" t="s">
        <v>86</v>
      </c>
      <c r="D3801" t="s">
        <v>33</v>
      </c>
      <c r="E3801" t="s">
        <v>34</v>
      </c>
      <c r="F3801" t="str">
        <f>"0004095"</f>
        <v>0004095</v>
      </c>
      <c r="G3801">
        <v>1</v>
      </c>
      <c r="H3801" t="str">
        <f>"00000000"</f>
        <v>00000000</v>
      </c>
      <c r="I3801" t="s">
        <v>35</v>
      </c>
      <c r="J3801"/>
      <c r="K3801">
        <v>19.58</v>
      </c>
      <c r="L3801">
        <v>0.0</v>
      </c>
      <c r="M3801"/>
      <c r="N3801"/>
      <c r="O3801">
        <v>3.52</v>
      </c>
      <c r="P3801">
        <v>0.0</v>
      </c>
      <c r="Q3801">
        <v>23.1</v>
      </c>
      <c r="R3801"/>
      <c r="S3801"/>
      <c r="T3801"/>
      <c r="U3801"/>
      <c r="V3801"/>
      <c r="W3801">
        <v>18</v>
      </c>
    </row>
    <row r="3802" spans="1:23">
      <c r="A3802"/>
      <c r="B3802" t="s">
        <v>86</v>
      </c>
      <c r="C3802" t="s">
        <v>86</v>
      </c>
      <c r="D3802" t="s">
        <v>33</v>
      </c>
      <c r="E3802" t="s">
        <v>34</v>
      </c>
      <c r="F3802" t="str">
        <f>"0004096"</f>
        <v>0004096</v>
      </c>
      <c r="G3802">
        <v>1</v>
      </c>
      <c r="H3802" t="str">
        <f>"00000000"</f>
        <v>00000000</v>
      </c>
      <c r="I3802" t="s">
        <v>35</v>
      </c>
      <c r="J3802"/>
      <c r="K3802">
        <v>0.02</v>
      </c>
      <c r="L3802">
        <v>0.0</v>
      </c>
      <c r="M3802"/>
      <c r="N3802"/>
      <c r="O3802">
        <v>0.0</v>
      </c>
      <c r="P3802">
        <v>0.2</v>
      </c>
      <c r="Q3802">
        <v>0.22</v>
      </c>
      <c r="R3802"/>
      <c r="S3802"/>
      <c r="T3802"/>
      <c r="U3802"/>
      <c r="V3802"/>
      <c r="W3802">
        <v>18</v>
      </c>
    </row>
    <row r="3803" spans="1:23">
      <c r="A3803"/>
      <c r="B3803" t="s">
        <v>86</v>
      </c>
      <c r="C3803" t="s">
        <v>86</v>
      </c>
      <c r="D3803" t="s">
        <v>33</v>
      </c>
      <c r="E3803" t="s">
        <v>34</v>
      </c>
      <c r="F3803" t="str">
        <f>"0004097"</f>
        <v>0004097</v>
      </c>
      <c r="G3803">
        <v>1</v>
      </c>
      <c r="H3803" t="str">
        <f>"00000000"</f>
        <v>00000000</v>
      </c>
      <c r="I3803" t="s">
        <v>35</v>
      </c>
      <c r="J3803"/>
      <c r="K3803">
        <v>18.53</v>
      </c>
      <c r="L3803">
        <v>17.39</v>
      </c>
      <c r="M3803"/>
      <c r="N3803"/>
      <c r="O3803">
        <v>3.34</v>
      </c>
      <c r="P3803">
        <v>0.2</v>
      </c>
      <c r="Q3803">
        <v>39.46</v>
      </c>
      <c r="R3803"/>
      <c r="S3803"/>
      <c r="T3803"/>
      <c r="U3803"/>
      <c r="V3803"/>
      <c r="W3803">
        <v>18</v>
      </c>
    </row>
    <row r="3804" spans="1:23">
      <c r="A3804"/>
      <c r="B3804" t="s">
        <v>86</v>
      </c>
      <c r="C3804" t="s">
        <v>86</v>
      </c>
      <c r="D3804" t="s">
        <v>33</v>
      </c>
      <c r="E3804" t="s">
        <v>34</v>
      </c>
      <c r="F3804" t="str">
        <f>"0004098"</f>
        <v>0004098</v>
      </c>
      <c r="G3804">
        <v>1</v>
      </c>
      <c r="H3804" t="str">
        <f>"00000000"</f>
        <v>00000000</v>
      </c>
      <c r="I3804" t="s">
        <v>35</v>
      </c>
      <c r="J3804"/>
      <c r="K3804">
        <v>6.56</v>
      </c>
      <c r="L3804">
        <v>3.7</v>
      </c>
      <c r="M3804"/>
      <c r="N3804"/>
      <c r="O3804">
        <v>1.18</v>
      </c>
      <c r="P3804">
        <v>0.0</v>
      </c>
      <c r="Q3804">
        <v>11.44</v>
      </c>
      <c r="R3804"/>
      <c r="S3804"/>
      <c r="T3804"/>
      <c r="U3804"/>
      <c r="V3804"/>
      <c r="W3804">
        <v>18</v>
      </c>
    </row>
    <row r="3805" spans="1:23">
      <c r="A3805"/>
      <c r="B3805" t="s">
        <v>86</v>
      </c>
      <c r="C3805" t="s">
        <v>86</v>
      </c>
      <c r="D3805" t="s">
        <v>33</v>
      </c>
      <c r="E3805" t="s">
        <v>34</v>
      </c>
      <c r="F3805" t="str">
        <f>"0004099"</f>
        <v>0004099</v>
      </c>
      <c r="G3805">
        <v>1</v>
      </c>
      <c r="H3805" t="str">
        <f>"00000000"</f>
        <v>00000000</v>
      </c>
      <c r="I3805" t="s">
        <v>35</v>
      </c>
      <c r="J3805"/>
      <c r="K3805">
        <v>3.81</v>
      </c>
      <c r="L3805">
        <v>0.0</v>
      </c>
      <c r="M3805"/>
      <c r="N3805"/>
      <c r="O3805">
        <v>0.69</v>
      </c>
      <c r="P3805">
        <v>0.0</v>
      </c>
      <c r="Q3805">
        <v>4.5</v>
      </c>
      <c r="R3805"/>
      <c r="S3805"/>
      <c r="T3805"/>
      <c r="U3805"/>
      <c r="V3805"/>
      <c r="W3805">
        <v>18</v>
      </c>
    </row>
    <row r="3806" spans="1:23">
      <c r="A3806"/>
      <c r="B3806" t="s">
        <v>86</v>
      </c>
      <c r="C3806" t="s">
        <v>86</v>
      </c>
      <c r="D3806" t="s">
        <v>33</v>
      </c>
      <c r="E3806" t="s">
        <v>34</v>
      </c>
      <c r="F3806" t="str">
        <f>"0004100"</f>
        <v>0004100</v>
      </c>
      <c r="G3806">
        <v>1</v>
      </c>
      <c r="H3806" t="str">
        <f>"00000000"</f>
        <v>00000000</v>
      </c>
      <c r="I3806" t="s">
        <v>35</v>
      </c>
      <c r="J3806"/>
      <c r="K3806">
        <v>2.53</v>
      </c>
      <c r="L3806">
        <v>0.0</v>
      </c>
      <c r="M3806"/>
      <c r="N3806"/>
      <c r="O3806">
        <v>0.46</v>
      </c>
      <c r="P3806">
        <v>0.0</v>
      </c>
      <c r="Q3806">
        <v>2.99</v>
      </c>
      <c r="R3806"/>
      <c r="S3806"/>
      <c r="T3806"/>
      <c r="U3806"/>
      <c r="V3806"/>
      <c r="W3806">
        <v>18</v>
      </c>
    </row>
    <row r="3807" spans="1:23">
      <c r="A3807"/>
      <c r="B3807" t="s">
        <v>86</v>
      </c>
      <c r="C3807" t="s">
        <v>86</v>
      </c>
      <c r="D3807" t="s">
        <v>36</v>
      </c>
      <c r="E3807" t="s">
        <v>37</v>
      </c>
      <c r="F3807" t="str">
        <f>"0000051"</f>
        <v>0000051</v>
      </c>
      <c r="G3807">
        <v>6</v>
      </c>
      <c r="H3807" t="str">
        <f>"20603489528"</f>
        <v>20603489528</v>
      </c>
      <c r="I3807" t="s">
        <v>89</v>
      </c>
      <c r="J3807"/>
      <c r="K3807">
        <v>38.76</v>
      </c>
      <c r="L3807">
        <v>0.0</v>
      </c>
      <c r="M3807"/>
      <c r="N3807"/>
      <c r="O3807">
        <v>6.98</v>
      </c>
      <c r="P3807">
        <v>0.4</v>
      </c>
      <c r="Q3807">
        <v>46.14</v>
      </c>
      <c r="R3807"/>
      <c r="S3807"/>
      <c r="T3807"/>
      <c r="U3807"/>
      <c r="V3807"/>
      <c r="W3807">
        <v>18</v>
      </c>
    </row>
    <row r="3808" spans="1:23">
      <c r="A3808"/>
      <c r="B3808" t="s">
        <v>86</v>
      </c>
      <c r="C3808" t="s">
        <v>86</v>
      </c>
      <c r="D3808" t="s">
        <v>33</v>
      </c>
      <c r="E3808" t="s">
        <v>34</v>
      </c>
      <c r="F3808" t="str">
        <f>"0004101"</f>
        <v>0004101</v>
      </c>
      <c r="G3808">
        <v>1</v>
      </c>
      <c r="H3808" t="str">
        <f>"00000000"</f>
        <v>00000000</v>
      </c>
      <c r="I3808" t="s">
        <v>35</v>
      </c>
      <c r="J3808"/>
      <c r="K3808">
        <v>18.15</v>
      </c>
      <c r="L3808">
        <v>3.85</v>
      </c>
      <c r="M3808"/>
      <c r="N3808"/>
      <c r="O3808">
        <v>3.27</v>
      </c>
      <c r="P3808">
        <v>0.4</v>
      </c>
      <c r="Q3808">
        <v>25.66</v>
      </c>
      <c r="R3808"/>
      <c r="S3808"/>
      <c r="T3808"/>
      <c r="U3808"/>
      <c r="V3808"/>
      <c r="W3808">
        <v>18</v>
      </c>
    </row>
    <row r="3809" spans="1:23">
      <c r="A3809"/>
      <c r="B3809" t="s">
        <v>86</v>
      </c>
      <c r="C3809" t="s">
        <v>86</v>
      </c>
      <c r="D3809" t="s">
        <v>33</v>
      </c>
      <c r="E3809" t="s">
        <v>34</v>
      </c>
      <c r="F3809" t="str">
        <f>"0004102"</f>
        <v>0004102</v>
      </c>
      <c r="G3809">
        <v>1</v>
      </c>
      <c r="H3809" t="str">
        <f>"00000000"</f>
        <v>00000000</v>
      </c>
      <c r="I3809" t="s">
        <v>35</v>
      </c>
      <c r="J3809"/>
      <c r="K3809">
        <v>7.64</v>
      </c>
      <c r="L3809">
        <v>0.0</v>
      </c>
      <c r="M3809"/>
      <c r="N3809"/>
      <c r="O3809">
        <v>1.38</v>
      </c>
      <c r="P3809">
        <v>0.2</v>
      </c>
      <c r="Q3809">
        <v>9.22</v>
      </c>
      <c r="R3809"/>
      <c r="S3809"/>
      <c r="T3809"/>
      <c r="U3809"/>
      <c r="V3809"/>
      <c r="W3809">
        <v>18</v>
      </c>
    </row>
    <row r="3810" spans="1:23">
      <c r="A3810"/>
      <c r="B3810" t="s">
        <v>86</v>
      </c>
      <c r="C3810" t="s">
        <v>86</v>
      </c>
      <c r="D3810" t="s">
        <v>33</v>
      </c>
      <c r="E3810" t="s">
        <v>34</v>
      </c>
      <c r="F3810" t="str">
        <f>"0004103"</f>
        <v>0004103</v>
      </c>
      <c r="G3810">
        <v>1</v>
      </c>
      <c r="H3810" t="str">
        <f>"00000000"</f>
        <v>00000000</v>
      </c>
      <c r="I3810" t="s">
        <v>35</v>
      </c>
      <c r="J3810"/>
      <c r="K3810">
        <v>3.39</v>
      </c>
      <c r="L3810">
        <v>0.0</v>
      </c>
      <c r="M3810"/>
      <c r="N3810"/>
      <c r="O3810">
        <v>0.61</v>
      </c>
      <c r="P3810">
        <v>0.0</v>
      </c>
      <c r="Q3810">
        <v>4.0</v>
      </c>
      <c r="R3810"/>
      <c r="S3810"/>
      <c r="T3810"/>
      <c r="U3810"/>
      <c r="V3810"/>
      <c r="W3810">
        <v>18</v>
      </c>
    </row>
    <row r="3811" spans="1:23">
      <c r="A3811"/>
      <c r="B3811" t="s">
        <v>86</v>
      </c>
      <c r="C3811" t="s">
        <v>86</v>
      </c>
      <c r="D3811" t="s">
        <v>33</v>
      </c>
      <c r="E3811" t="s">
        <v>34</v>
      </c>
      <c r="F3811" t="str">
        <f>"0004104"</f>
        <v>0004104</v>
      </c>
      <c r="G3811">
        <v>1</v>
      </c>
      <c r="H3811" t="str">
        <f>"00000000"</f>
        <v>00000000</v>
      </c>
      <c r="I3811" t="s">
        <v>35</v>
      </c>
      <c r="J3811"/>
      <c r="K3811">
        <v>48.07</v>
      </c>
      <c r="L3811">
        <v>0.0</v>
      </c>
      <c r="M3811"/>
      <c r="N3811"/>
      <c r="O3811">
        <v>8.65</v>
      </c>
      <c r="P3811">
        <v>0.2</v>
      </c>
      <c r="Q3811">
        <v>56.92</v>
      </c>
      <c r="R3811"/>
      <c r="S3811"/>
      <c r="T3811"/>
      <c r="U3811"/>
      <c r="V3811"/>
      <c r="W3811">
        <v>18</v>
      </c>
    </row>
    <row r="3812" spans="1:23">
      <c r="A3812"/>
      <c r="B3812" t="s">
        <v>86</v>
      </c>
      <c r="C3812" t="s">
        <v>86</v>
      </c>
      <c r="D3812" t="s">
        <v>33</v>
      </c>
      <c r="E3812" t="s">
        <v>34</v>
      </c>
      <c r="F3812" t="str">
        <f>"0004105"</f>
        <v>0004105</v>
      </c>
      <c r="G3812">
        <v>1</v>
      </c>
      <c r="H3812" t="str">
        <f>"00000000"</f>
        <v>00000000</v>
      </c>
      <c r="I3812" t="s">
        <v>35</v>
      </c>
      <c r="J3812"/>
      <c r="K3812">
        <v>16.88</v>
      </c>
      <c r="L3812">
        <v>0.0</v>
      </c>
      <c r="M3812"/>
      <c r="N3812"/>
      <c r="O3812">
        <v>3.04</v>
      </c>
      <c r="P3812">
        <v>0.2</v>
      </c>
      <c r="Q3812">
        <v>20.12</v>
      </c>
      <c r="R3812"/>
      <c r="S3812"/>
      <c r="T3812"/>
      <c r="U3812"/>
      <c r="V3812"/>
      <c r="W3812">
        <v>18</v>
      </c>
    </row>
    <row r="3813" spans="1:23">
      <c r="A3813"/>
      <c r="B3813" t="s">
        <v>86</v>
      </c>
      <c r="C3813" t="s">
        <v>86</v>
      </c>
      <c r="D3813" t="s">
        <v>33</v>
      </c>
      <c r="E3813" t="s">
        <v>34</v>
      </c>
      <c r="F3813" t="str">
        <f>"0004106"</f>
        <v>0004106</v>
      </c>
      <c r="G3813">
        <v>1</v>
      </c>
      <c r="H3813" t="str">
        <f>"00000000"</f>
        <v>00000000</v>
      </c>
      <c r="I3813" t="s">
        <v>35</v>
      </c>
      <c r="J3813"/>
      <c r="K3813">
        <v>9.75</v>
      </c>
      <c r="L3813">
        <v>0.0</v>
      </c>
      <c r="M3813"/>
      <c r="N3813"/>
      <c r="O3813">
        <v>1.75</v>
      </c>
      <c r="P3813">
        <v>0.0</v>
      </c>
      <c r="Q3813">
        <v>11.5</v>
      </c>
      <c r="R3813"/>
      <c r="S3813"/>
      <c r="T3813"/>
      <c r="U3813"/>
      <c r="V3813"/>
      <c r="W3813">
        <v>18</v>
      </c>
    </row>
    <row r="3814" spans="1:23">
      <c r="A3814"/>
      <c r="B3814" t="s">
        <v>86</v>
      </c>
      <c r="C3814" t="s">
        <v>86</v>
      </c>
      <c r="D3814" t="s">
        <v>33</v>
      </c>
      <c r="E3814" t="s">
        <v>34</v>
      </c>
      <c r="F3814" t="str">
        <f>"0004107"</f>
        <v>0004107</v>
      </c>
      <c r="G3814">
        <v>1</v>
      </c>
      <c r="H3814" t="str">
        <f>"00000000"</f>
        <v>00000000</v>
      </c>
      <c r="I3814" t="s">
        <v>35</v>
      </c>
      <c r="J3814"/>
      <c r="K3814">
        <v>11.32</v>
      </c>
      <c r="L3814">
        <v>1.54</v>
      </c>
      <c r="M3814"/>
      <c r="N3814"/>
      <c r="O3814">
        <v>2.04</v>
      </c>
      <c r="P3814">
        <v>0.2</v>
      </c>
      <c r="Q3814">
        <v>15.1</v>
      </c>
      <c r="R3814"/>
      <c r="S3814"/>
      <c r="T3814"/>
      <c r="U3814"/>
      <c r="V3814"/>
      <c r="W3814">
        <v>18</v>
      </c>
    </row>
    <row r="3815" spans="1:23">
      <c r="A3815"/>
      <c r="B3815" t="s">
        <v>86</v>
      </c>
      <c r="C3815" t="s">
        <v>86</v>
      </c>
      <c r="D3815" t="s">
        <v>33</v>
      </c>
      <c r="E3815" t="s">
        <v>34</v>
      </c>
      <c r="F3815" t="str">
        <f>"0004108"</f>
        <v>0004108</v>
      </c>
      <c r="G3815">
        <v>1</v>
      </c>
      <c r="H3815" t="str">
        <f>"00000000"</f>
        <v>00000000</v>
      </c>
      <c r="I3815" t="s">
        <v>35</v>
      </c>
      <c r="J3815"/>
      <c r="K3815">
        <v>29.36</v>
      </c>
      <c r="L3815">
        <v>2.92</v>
      </c>
      <c r="M3815"/>
      <c r="N3815"/>
      <c r="O3815">
        <v>5.28</v>
      </c>
      <c r="P3815">
        <v>0.4</v>
      </c>
      <c r="Q3815">
        <v>37.96</v>
      </c>
      <c r="R3815"/>
      <c r="S3815"/>
      <c r="T3815"/>
      <c r="U3815"/>
      <c r="V3815"/>
      <c r="W3815">
        <v>18</v>
      </c>
    </row>
    <row r="3816" spans="1:23">
      <c r="A3816"/>
      <c r="B3816" t="s">
        <v>86</v>
      </c>
      <c r="C3816" t="s">
        <v>86</v>
      </c>
      <c r="D3816" t="s">
        <v>33</v>
      </c>
      <c r="E3816" t="s">
        <v>34</v>
      </c>
      <c r="F3816" t="str">
        <f>"0004109"</f>
        <v>0004109</v>
      </c>
      <c r="G3816">
        <v>1</v>
      </c>
      <c r="H3816" t="str">
        <f>"00000000"</f>
        <v>00000000</v>
      </c>
      <c r="I3816" t="s">
        <v>35</v>
      </c>
      <c r="J3816"/>
      <c r="K3816">
        <v>17.43</v>
      </c>
      <c r="L3816">
        <v>0.0</v>
      </c>
      <c r="M3816"/>
      <c r="N3816"/>
      <c r="O3816">
        <v>3.14</v>
      </c>
      <c r="P3816">
        <v>0.0</v>
      </c>
      <c r="Q3816">
        <v>20.57</v>
      </c>
      <c r="R3816"/>
      <c r="S3816"/>
      <c r="T3816"/>
      <c r="U3816"/>
      <c r="V3816"/>
      <c r="W3816">
        <v>18</v>
      </c>
    </row>
    <row r="3817" spans="1:23">
      <c r="A3817"/>
      <c r="B3817" t="s">
        <v>86</v>
      </c>
      <c r="C3817" t="s">
        <v>86</v>
      </c>
      <c r="D3817" t="s">
        <v>33</v>
      </c>
      <c r="E3817" t="s">
        <v>34</v>
      </c>
      <c r="F3817" t="str">
        <f>"0004110"</f>
        <v>0004110</v>
      </c>
      <c r="G3817">
        <v>1</v>
      </c>
      <c r="H3817" t="str">
        <f>"00000000"</f>
        <v>00000000</v>
      </c>
      <c r="I3817" t="s">
        <v>35</v>
      </c>
      <c r="J3817"/>
      <c r="K3817">
        <v>1.69</v>
      </c>
      <c r="L3817">
        <v>0.0</v>
      </c>
      <c r="M3817"/>
      <c r="N3817"/>
      <c r="O3817">
        <v>0.31</v>
      </c>
      <c r="P3817">
        <v>0.0</v>
      </c>
      <c r="Q3817">
        <v>2.0</v>
      </c>
      <c r="R3817"/>
      <c r="S3817"/>
      <c r="T3817"/>
      <c r="U3817"/>
      <c r="V3817"/>
      <c r="W3817">
        <v>18</v>
      </c>
    </row>
    <row r="3818" spans="1:23">
      <c r="A3818"/>
      <c r="B3818" t="s">
        <v>86</v>
      </c>
      <c r="C3818" t="s">
        <v>86</v>
      </c>
      <c r="D3818" t="s">
        <v>33</v>
      </c>
      <c r="E3818" t="s">
        <v>34</v>
      </c>
      <c r="F3818" t="str">
        <f>"0004111"</f>
        <v>0004111</v>
      </c>
      <c r="G3818">
        <v>1</v>
      </c>
      <c r="H3818" t="str">
        <f>"00000000"</f>
        <v>00000000</v>
      </c>
      <c r="I3818" t="s">
        <v>35</v>
      </c>
      <c r="J3818"/>
      <c r="K3818">
        <v>5.76</v>
      </c>
      <c r="L3818">
        <v>0.0</v>
      </c>
      <c r="M3818"/>
      <c r="N3818"/>
      <c r="O3818">
        <v>1.04</v>
      </c>
      <c r="P3818">
        <v>0.0</v>
      </c>
      <c r="Q3818">
        <v>6.8</v>
      </c>
      <c r="R3818"/>
      <c r="S3818"/>
      <c r="T3818"/>
      <c r="U3818"/>
      <c r="V3818"/>
      <c r="W3818">
        <v>18</v>
      </c>
    </row>
    <row r="3819" spans="1:23">
      <c r="A3819"/>
      <c r="B3819" t="s">
        <v>86</v>
      </c>
      <c r="C3819" t="s">
        <v>86</v>
      </c>
      <c r="D3819" t="s">
        <v>33</v>
      </c>
      <c r="E3819" t="s">
        <v>34</v>
      </c>
      <c r="F3819" t="str">
        <f>"0004112"</f>
        <v>0004112</v>
      </c>
      <c r="G3819">
        <v>1</v>
      </c>
      <c r="H3819" t="str">
        <f>"00000000"</f>
        <v>00000000</v>
      </c>
      <c r="I3819" t="s">
        <v>35</v>
      </c>
      <c r="J3819"/>
      <c r="K3819">
        <v>24.34</v>
      </c>
      <c r="L3819">
        <v>0.0</v>
      </c>
      <c r="M3819"/>
      <c r="N3819"/>
      <c r="O3819">
        <v>4.38</v>
      </c>
      <c r="P3819">
        <v>0.2</v>
      </c>
      <c r="Q3819">
        <v>28.92</v>
      </c>
      <c r="R3819"/>
      <c r="S3819"/>
      <c r="T3819"/>
      <c r="U3819"/>
      <c r="V3819"/>
      <c r="W3819">
        <v>18</v>
      </c>
    </row>
    <row r="3820" spans="1:23">
      <c r="A3820"/>
      <c r="B3820" t="s">
        <v>86</v>
      </c>
      <c r="C3820" t="s">
        <v>86</v>
      </c>
      <c r="D3820" t="s">
        <v>33</v>
      </c>
      <c r="E3820" t="s">
        <v>34</v>
      </c>
      <c r="F3820" t="str">
        <f>"0004113"</f>
        <v>0004113</v>
      </c>
      <c r="G3820">
        <v>1</v>
      </c>
      <c r="H3820" t="str">
        <f>"00000000"</f>
        <v>00000000</v>
      </c>
      <c r="I3820" t="s">
        <v>35</v>
      </c>
      <c r="J3820"/>
      <c r="K3820">
        <v>17.88</v>
      </c>
      <c r="L3820">
        <v>8.03</v>
      </c>
      <c r="M3820"/>
      <c r="N3820"/>
      <c r="O3820">
        <v>3.22</v>
      </c>
      <c r="P3820">
        <v>0.2</v>
      </c>
      <c r="Q3820">
        <v>29.33</v>
      </c>
      <c r="R3820"/>
      <c r="S3820"/>
      <c r="T3820"/>
      <c r="U3820"/>
      <c r="V3820"/>
      <c r="W3820">
        <v>18</v>
      </c>
    </row>
    <row r="3821" spans="1:23">
      <c r="A3821"/>
      <c r="B3821" t="s">
        <v>86</v>
      </c>
      <c r="C3821" t="s">
        <v>86</v>
      </c>
      <c r="D3821" t="s">
        <v>33</v>
      </c>
      <c r="E3821" t="s">
        <v>34</v>
      </c>
      <c r="F3821" t="str">
        <f>"0004114"</f>
        <v>0004114</v>
      </c>
      <c r="G3821">
        <v>1</v>
      </c>
      <c r="H3821" t="str">
        <f>"00000000"</f>
        <v>00000000</v>
      </c>
      <c r="I3821" t="s">
        <v>35</v>
      </c>
      <c r="J3821"/>
      <c r="K3821">
        <v>20.1</v>
      </c>
      <c r="L3821">
        <v>9.19</v>
      </c>
      <c r="M3821"/>
      <c r="N3821"/>
      <c r="O3821">
        <v>3.62</v>
      </c>
      <c r="P3821">
        <v>0.2</v>
      </c>
      <c r="Q3821">
        <v>33.11</v>
      </c>
      <c r="R3821"/>
      <c r="S3821"/>
      <c r="T3821"/>
      <c r="U3821"/>
      <c r="V3821"/>
      <c r="W3821">
        <v>18</v>
      </c>
    </row>
    <row r="3822" spans="1:23">
      <c r="A3822"/>
      <c r="B3822" t="s">
        <v>86</v>
      </c>
      <c r="C3822" t="s">
        <v>86</v>
      </c>
      <c r="D3822" t="s">
        <v>33</v>
      </c>
      <c r="E3822" t="s">
        <v>34</v>
      </c>
      <c r="F3822" t="str">
        <f>"0004115"</f>
        <v>0004115</v>
      </c>
      <c r="G3822">
        <v>1</v>
      </c>
      <c r="H3822" t="str">
        <f>"00000000"</f>
        <v>00000000</v>
      </c>
      <c r="I3822" t="s">
        <v>35</v>
      </c>
      <c r="J3822"/>
      <c r="K3822">
        <v>30.68</v>
      </c>
      <c r="L3822">
        <v>0.0</v>
      </c>
      <c r="M3822"/>
      <c r="N3822"/>
      <c r="O3822">
        <v>5.52</v>
      </c>
      <c r="P3822">
        <v>0.0</v>
      </c>
      <c r="Q3822">
        <v>36.2</v>
      </c>
      <c r="R3822"/>
      <c r="S3822"/>
      <c r="T3822"/>
      <c r="U3822"/>
      <c r="V3822"/>
      <c r="W3822">
        <v>18</v>
      </c>
    </row>
    <row r="3823" spans="1:23">
      <c r="A3823"/>
      <c r="B3823" t="s">
        <v>86</v>
      </c>
      <c r="C3823" t="s">
        <v>86</v>
      </c>
      <c r="D3823" t="s">
        <v>33</v>
      </c>
      <c r="E3823" t="s">
        <v>34</v>
      </c>
      <c r="F3823" t="str">
        <f>"0004116"</f>
        <v>0004116</v>
      </c>
      <c r="G3823">
        <v>1</v>
      </c>
      <c r="H3823" t="str">
        <f>"00000000"</f>
        <v>00000000</v>
      </c>
      <c r="I3823" t="s">
        <v>35</v>
      </c>
      <c r="J3823"/>
      <c r="K3823">
        <v>12.94</v>
      </c>
      <c r="L3823">
        <v>0.0</v>
      </c>
      <c r="M3823"/>
      <c r="N3823"/>
      <c r="O3823">
        <v>2.33</v>
      </c>
      <c r="P3823">
        <v>0.0</v>
      </c>
      <c r="Q3823">
        <v>15.27</v>
      </c>
      <c r="R3823"/>
      <c r="S3823"/>
      <c r="T3823"/>
      <c r="U3823"/>
      <c r="V3823"/>
      <c r="W3823">
        <v>18</v>
      </c>
    </row>
    <row r="3824" spans="1:23">
      <c r="A3824"/>
      <c r="B3824" t="s">
        <v>86</v>
      </c>
      <c r="C3824" t="s">
        <v>86</v>
      </c>
      <c r="D3824" t="s">
        <v>33</v>
      </c>
      <c r="E3824" t="s">
        <v>34</v>
      </c>
      <c r="F3824" t="str">
        <f>"0004117"</f>
        <v>0004117</v>
      </c>
      <c r="G3824">
        <v>1</v>
      </c>
      <c r="H3824" t="str">
        <f>"00000000"</f>
        <v>00000000</v>
      </c>
      <c r="I3824" t="s">
        <v>35</v>
      </c>
      <c r="J3824"/>
      <c r="K3824">
        <v>12.29</v>
      </c>
      <c r="L3824">
        <v>0.0</v>
      </c>
      <c r="M3824"/>
      <c r="N3824"/>
      <c r="O3824">
        <v>2.21</v>
      </c>
      <c r="P3824">
        <v>0.0</v>
      </c>
      <c r="Q3824">
        <v>14.5</v>
      </c>
      <c r="R3824"/>
      <c r="S3824"/>
      <c r="T3824"/>
      <c r="U3824"/>
      <c r="V3824"/>
      <c r="W3824">
        <v>18</v>
      </c>
    </row>
    <row r="3825" spans="1:23">
      <c r="A3825"/>
      <c r="B3825" t="s">
        <v>86</v>
      </c>
      <c r="C3825" t="s">
        <v>86</v>
      </c>
      <c r="D3825" t="s">
        <v>33</v>
      </c>
      <c r="E3825" t="s">
        <v>34</v>
      </c>
      <c r="F3825" t="str">
        <f>"0004118"</f>
        <v>0004118</v>
      </c>
      <c r="G3825">
        <v>1</v>
      </c>
      <c r="H3825" t="str">
        <f>"00000000"</f>
        <v>00000000</v>
      </c>
      <c r="I3825" t="s">
        <v>35</v>
      </c>
      <c r="J3825"/>
      <c r="K3825">
        <v>17.98</v>
      </c>
      <c r="L3825">
        <v>3.5</v>
      </c>
      <c r="M3825"/>
      <c r="N3825"/>
      <c r="O3825">
        <v>3.24</v>
      </c>
      <c r="P3825">
        <v>0.2</v>
      </c>
      <c r="Q3825">
        <v>24.92</v>
      </c>
      <c r="R3825"/>
      <c r="S3825"/>
      <c r="T3825"/>
      <c r="U3825"/>
      <c r="V3825"/>
      <c r="W3825">
        <v>18</v>
      </c>
    </row>
    <row r="3826" spans="1:23">
      <c r="A3826"/>
      <c r="B3826" t="s">
        <v>86</v>
      </c>
      <c r="C3826" t="s">
        <v>86</v>
      </c>
      <c r="D3826" t="s">
        <v>33</v>
      </c>
      <c r="E3826" t="s">
        <v>34</v>
      </c>
      <c r="F3826" t="str">
        <f>"0004119"</f>
        <v>0004119</v>
      </c>
      <c r="G3826">
        <v>1</v>
      </c>
      <c r="H3826" t="str">
        <f>"00000000"</f>
        <v>00000000</v>
      </c>
      <c r="I3826" t="s">
        <v>35</v>
      </c>
      <c r="J3826"/>
      <c r="K3826">
        <v>12.71</v>
      </c>
      <c r="L3826">
        <v>0.0</v>
      </c>
      <c r="M3826"/>
      <c r="N3826"/>
      <c r="O3826">
        <v>2.29</v>
      </c>
      <c r="P3826">
        <v>0.0</v>
      </c>
      <c r="Q3826">
        <v>15.0</v>
      </c>
      <c r="R3826"/>
      <c r="S3826"/>
      <c r="T3826"/>
      <c r="U3826"/>
      <c r="V3826"/>
      <c r="W3826">
        <v>18</v>
      </c>
    </row>
    <row r="3827" spans="1:23">
      <c r="A3827"/>
      <c r="B3827" t="s">
        <v>86</v>
      </c>
      <c r="C3827" t="s">
        <v>86</v>
      </c>
      <c r="D3827" t="s">
        <v>33</v>
      </c>
      <c r="E3827" t="s">
        <v>34</v>
      </c>
      <c r="F3827" t="str">
        <f>"0004120"</f>
        <v>0004120</v>
      </c>
      <c r="G3827">
        <v>1</v>
      </c>
      <c r="H3827" t="str">
        <f>"00000000"</f>
        <v>00000000</v>
      </c>
      <c r="I3827" t="s">
        <v>35</v>
      </c>
      <c r="J3827"/>
      <c r="K3827">
        <v>8.56</v>
      </c>
      <c r="L3827">
        <v>0.0</v>
      </c>
      <c r="M3827"/>
      <c r="N3827"/>
      <c r="O3827">
        <v>1.54</v>
      </c>
      <c r="P3827">
        <v>0.0</v>
      </c>
      <c r="Q3827">
        <v>10.1</v>
      </c>
      <c r="R3827"/>
      <c r="S3827"/>
      <c r="T3827"/>
      <c r="U3827"/>
      <c r="V3827"/>
      <c r="W3827">
        <v>18</v>
      </c>
    </row>
    <row r="3828" spans="1:23">
      <c r="A3828"/>
      <c r="B3828" t="s">
        <v>86</v>
      </c>
      <c r="C3828" t="s">
        <v>86</v>
      </c>
      <c r="D3828" t="s">
        <v>33</v>
      </c>
      <c r="E3828" t="s">
        <v>34</v>
      </c>
      <c r="F3828" t="str">
        <f>"0004121"</f>
        <v>0004121</v>
      </c>
      <c r="G3828">
        <v>1</v>
      </c>
      <c r="H3828" t="str">
        <f>"00000000"</f>
        <v>00000000</v>
      </c>
      <c r="I3828" t="s">
        <v>35</v>
      </c>
      <c r="J3828"/>
      <c r="K3828">
        <v>9.92</v>
      </c>
      <c r="L3828">
        <v>0.0</v>
      </c>
      <c r="M3828"/>
      <c r="N3828"/>
      <c r="O3828">
        <v>1.78</v>
      </c>
      <c r="P3828">
        <v>0.0</v>
      </c>
      <c r="Q3828">
        <v>11.7</v>
      </c>
      <c r="R3828"/>
      <c r="S3828"/>
      <c r="T3828"/>
      <c r="U3828"/>
      <c r="V3828"/>
      <c r="W3828">
        <v>18</v>
      </c>
    </row>
    <row r="3829" spans="1:23">
      <c r="A3829"/>
      <c r="B3829" t="s">
        <v>86</v>
      </c>
      <c r="C3829" t="s">
        <v>86</v>
      </c>
      <c r="D3829" t="s">
        <v>33</v>
      </c>
      <c r="E3829" t="s">
        <v>34</v>
      </c>
      <c r="F3829" t="str">
        <f>"0004122"</f>
        <v>0004122</v>
      </c>
      <c r="G3829">
        <v>1</v>
      </c>
      <c r="H3829" t="str">
        <f>"00000000"</f>
        <v>00000000</v>
      </c>
      <c r="I3829" t="s">
        <v>35</v>
      </c>
      <c r="J3829"/>
      <c r="K3829">
        <v>12.88</v>
      </c>
      <c r="L3829">
        <v>2.73</v>
      </c>
      <c r="M3829"/>
      <c r="N3829"/>
      <c r="O3829">
        <v>2.32</v>
      </c>
      <c r="P3829">
        <v>0.2</v>
      </c>
      <c r="Q3829">
        <v>18.13</v>
      </c>
      <c r="R3829"/>
      <c r="S3829"/>
      <c r="T3829"/>
      <c r="U3829"/>
      <c r="V3829"/>
      <c r="W3829">
        <v>18</v>
      </c>
    </row>
    <row r="3830" spans="1:23">
      <c r="A3830"/>
      <c r="B3830" t="s">
        <v>86</v>
      </c>
      <c r="C3830" t="s">
        <v>86</v>
      </c>
      <c r="D3830" t="s">
        <v>33</v>
      </c>
      <c r="E3830" t="s">
        <v>34</v>
      </c>
      <c r="F3830" t="str">
        <f>"0004123"</f>
        <v>0004123</v>
      </c>
      <c r="G3830">
        <v>1</v>
      </c>
      <c r="H3830" t="str">
        <f>"00000000"</f>
        <v>00000000</v>
      </c>
      <c r="I3830" t="s">
        <v>35</v>
      </c>
      <c r="J3830"/>
      <c r="K3830">
        <v>2.14</v>
      </c>
      <c r="L3830">
        <v>4.43</v>
      </c>
      <c r="M3830"/>
      <c r="N3830"/>
      <c r="O3830">
        <v>0.38</v>
      </c>
      <c r="P3830">
        <v>0.2</v>
      </c>
      <c r="Q3830">
        <v>7.15</v>
      </c>
      <c r="R3830"/>
      <c r="S3830"/>
      <c r="T3830"/>
      <c r="U3830"/>
      <c r="V3830"/>
      <c r="W3830">
        <v>18</v>
      </c>
    </row>
    <row r="3831" spans="1:23">
      <c r="A3831"/>
      <c r="B3831" t="s">
        <v>86</v>
      </c>
      <c r="C3831" t="s">
        <v>86</v>
      </c>
      <c r="D3831" t="s">
        <v>33</v>
      </c>
      <c r="E3831" t="s">
        <v>34</v>
      </c>
      <c r="F3831" t="str">
        <f>"0004124"</f>
        <v>0004124</v>
      </c>
      <c r="G3831">
        <v>1</v>
      </c>
      <c r="H3831" t="str">
        <f>"00000000"</f>
        <v>00000000</v>
      </c>
      <c r="I3831" t="s">
        <v>35</v>
      </c>
      <c r="J3831"/>
      <c r="K3831">
        <v>12.29</v>
      </c>
      <c r="L3831">
        <v>0.0</v>
      </c>
      <c r="M3831"/>
      <c r="N3831"/>
      <c r="O3831">
        <v>2.21</v>
      </c>
      <c r="P3831">
        <v>0.0</v>
      </c>
      <c r="Q3831">
        <v>14.5</v>
      </c>
      <c r="R3831"/>
      <c r="S3831"/>
      <c r="T3831"/>
      <c r="U3831"/>
      <c r="V3831"/>
      <c r="W3831">
        <v>18</v>
      </c>
    </row>
    <row r="3832" spans="1:23">
      <c r="A3832"/>
      <c r="B3832" t="s">
        <v>86</v>
      </c>
      <c r="C3832" t="s">
        <v>86</v>
      </c>
      <c r="D3832" t="s">
        <v>33</v>
      </c>
      <c r="E3832" t="s">
        <v>34</v>
      </c>
      <c r="F3832" t="str">
        <f>"0004125"</f>
        <v>0004125</v>
      </c>
      <c r="G3832">
        <v>1</v>
      </c>
      <c r="H3832" t="str">
        <f>"00000000"</f>
        <v>00000000</v>
      </c>
      <c r="I3832" t="s">
        <v>35</v>
      </c>
      <c r="J3832"/>
      <c r="K3832">
        <v>57.87</v>
      </c>
      <c r="L3832">
        <v>14.29</v>
      </c>
      <c r="M3832"/>
      <c r="N3832"/>
      <c r="O3832">
        <v>10.42</v>
      </c>
      <c r="P3832">
        <v>0.4</v>
      </c>
      <c r="Q3832">
        <v>82.98</v>
      </c>
      <c r="R3832"/>
      <c r="S3832"/>
      <c r="T3832"/>
      <c r="U3832"/>
      <c r="V3832"/>
      <c r="W3832">
        <v>18</v>
      </c>
    </row>
    <row r="3833" spans="1:23">
      <c r="A3833"/>
      <c r="B3833" t="s">
        <v>86</v>
      </c>
      <c r="C3833" t="s">
        <v>86</v>
      </c>
      <c r="D3833" t="s">
        <v>36</v>
      </c>
      <c r="E3833" t="s">
        <v>37</v>
      </c>
      <c r="F3833" t="str">
        <f>"0000052"</f>
        <v>0000052</v>
      </c>
      <c r="G3833">
        <v>6</v>
      </c>
      <c r="H3833" t="str">
        <f>"10167829258"</f>
        <v>10167829258</v>
      </c>
      <c r="I3833" t="s">
        <v>90</v>
      </c>
      <c r="J3833"/>
      <c r="K3833">
        <v>5.78</v>
      </c>
      <c r="L3833">
        <v>12.41</v>
      </c>
      <c r="M3833"/>
      <c r="N3833"/>
      <c r="O3833">
        <v>1.04</v>
      </c>
      <c r="P3833">
        <v>0.2</v>
      </c>
      <c r="Q3833">
        <v>19.43</v>
      </c>
      <c r="R3833"/>
      <c r="S3833"/>
      <c r="T3833"/>
      <c r="U3833"/>
      <c r="V3833"/>
      <c r="W3833">
        <v>18</v>
      </c>
    </row>
    <row r="3834" spans="1:23">
      <c r="A3834"/>
      <c r="B3834" t="s">
        <v>86</v>
      </c>
      <c r="C3834" t="s">
        <v>86</v>
      </c>
      <c r="D3834" t="s">
        <v>33</v>
      </c>
      <c r="E3834" t="s">
        <v>34</v>
      </c>
      <c r="F3834" t="str">
        <f>"0004126"</f>
        <v>0004126</v>
      </c>
      <c r="G3834">
        <v>1</v>
      </c>
      <c r="H3834" t="str">
        <f>"00000000"</f>
        <v>00000000</v>
      </c>
      <c r="I3834" t="s">
        <v>35</v>
      </c>
      <c r="J3834"/>
      <c r="K3834">
        <v>15.95</v>
      </c>
      <c r="L3834">
        <v>3.52</v>
      </c>
      <c r="M3834"/>
      <c r="N3834"/>
      <c r="O3834">
        <v>2.87</v>
      </c>
      <c r="P3834">
        <v>0.2</v>
      </c>
      <c r="Q3834">
        <v>22.54</v>
      </c>
      <c r="R3834"/>
      <c r="S3834"/>
      <c r="T3834"/>
      <c r="U3834"/>
      <c r="V3834"/>
      <c r="W3834">
        <v>18</v>
      </c>
    </row>
    <row r="3835" spans="1:23">
      <c r="A3835"/>
      <c r="B3835" t="s">
        <v>86</v>
      </c>
      <c r="C3835" t="s">
        <v>86</v>
      </c>
      <c r="D3835" t="s">
        <v>33</v>
      </c>
      <c r="E3835" t="s">
        <v>34</v>
      </c>
      <c r="F3835" t="str">
        <f>"0004127"</f>
        <v>0004127</v>
      </c>
      <c r="G3835">
        <v>1</v>
      </c>
      <c r="H3835" t="str">
        <f>"00000000"</f>
        <v>00000000</v>
      </c>
      <c r="I3835" t="s">
        <v>35</v>
      </c>
      <c r="J3835"/>
      <c r="K3835">
        <v>88.38</v>
      </c>
      <c r="L3835">
        <v>1.23</v>
      </c>
      <c r="M3835"/>
      <c r="N3835"/>
      <c r="O3835">
        <v>15.91</v>
      </c>
      <c r="P3835">
        <v>0.0</v>
      </c>
      <c r="Q3835">
        <v>105.51</v>
      </c>
      <c r="R3835"/>
      <c r="S3835"/>
      <c r="T3835"/>
      <c r="U3835"/>
      <c r="V3835"/>
      <c r="W3835">
        <v>18</v>
      </c>
    </row>
    <row r="3836" spans="1:23">
      <c r="A3836"/>
      <c r="B3836" t="s">
        <v>86</v>
      </c>
      <c r="C3836" t="s">
        <v>86</v>
      </c>
      <c r="D3836" t="s">
        <v>33</v>
      </c>
      <c r="E3836" t="s">
        <v>34</v>
      </c>
      <c r="F3836" t="str">
        <f>"0004128"</f>
        <v>0004128</v>
      </c>
      <c r="G3836">
        <v>1</v>
      </c>
      <c r="H3836" t="str">
        <f>"00000000"</f>
        <v>00000000</v>
      </c>
      <c r="I3836" t="s">
        <v>35</v>
      </c>
      <c r="J3836"/>
      <c r="K3836">
        <v>15.25</v>
      </c>
      <c r="L3836">
        <v>0.0</v>
      </c>
      <c r="M3836"/>
      <c r="N3836"/>
      <c r="O3836">
        <v>2.75</v>
      </c>
      <c r="P3836">
        <v>0.0</v>
      </c>
      <c r="Q3836">
        <v>18.0</v>
      </c>
      <c r="R3836"/>
      <c r="S3836"/>
      <c r="T3836"/>
      <c r="U3836"/>
      <c r="V3836"/>
      <c r="W3836">
        <v>18</v>
      </c>
    </row>
    <row r="3837" spans="1:23">
      <c r="A3837"/>
      <c r="B3837" t="s">
        <v>86</v>
      </c>
      <c r="C3837" t="s">
        <v>86</v>
      </c>
      <c r="D3837" t="s">
        <v>33</v>
      </c>
      <c r="E3837" t="s">
        <v>34</v>
      </c>
      <c r="F3837" t="str">
        <f>"0004129"</f>
        <v>0004129</v>
      </c>
      <c r="G3837">
        <v>1</v>
      </c>
      <c r="H3837" t="str">
        <f>"00000000"</f>
        <v>00000000</v>
      </c>
      <c r="I3837" t="s">
        <v>35</v>
      </c>
      <c r="J3837"/>
      <c r="K3837">
        <v>45.93</v>
      </c>
      <c r="L3837">
        <v>22.23</v>
      </c>
      <c r="M3837"/>
      <c r="N3837"/>
      <c r="O3837">
        <v>8.27</v>
      </c>
      <c r="P3837">
        <v>1.0</v>
      </c>
      <c r="Q3837">
        <v>77.43</v>
      </c>
      <c r="R3837"/>
      <c r="S3837"/>
      <c r="T3837"/>
      <c r="U3837"/>
      <c r="V3837"/>
      <c r="W3837">
        <v>18</v>
      </c>
    </row>
    <row r="3838" spans="1:23">
      <c r="A3838"/>
      <c r="B3838" t="s">
        <v>86</v>
      </c>
      <c r="C3838" t="s">
        <v>86</v>
      </c>
      <c r="D3838" t="s">
        <v>33</v>
      </c>
      <c r="E3838" t="s">
        <v>34</v>
      </c>
      <c r="F3838" t="str">
        <f>"0004130"</f>
        <v>0004130</v>
      </c>
      <c r="G3838">
        <v>1</v>
      </c>
      <c r="H3838" t="str">
        <f>"00000000"</f>
        <v>00000000</v>
      </c>
      <c r="I3838" t="s">
        <v>35</v>
      </c>
      <c r="J3838"/>
      <c r="K3838">
        <v>7.9</v>
      </c>
      <c r="L3838">
        <v>0.0</v>
      </c>
      <c r="M3838"/>
      <c r="N3838"/>
      <c r="O3838">
        <v>1.42</v>
      </c>
      <c r="P3838">
        <v>0.2</v>
      </c>
      <c r="Q3838">
        <v>9.52</v>
      </c>
      <c r="R3838"/>
      <c r="S3838"/>
      <c r="T3838"/>
      <c r="U3838"/>
      <c r="V3838"/>
      <c r="W3838">
        <v>18</v>
      </c>
    </row>
    <row r="3839" spans="1:23">
      <c r="A3839"/>
      <c r="B3839" t="s">
        <v>86</v>
      </c>
      <c r="C3839" t="s">
        <v>86</v>
      </c>
      <c r="D3839" t="s">
        <v>33</v>
      </c>
      <c r="E3839" t="s">
        <v>34</v>
      </c>
      <c r="F3839" t="str">
        <f>"0004131"</f>
        <v>0004131</v>
      </c>
      <c r="G3839">
        <v>1</v>
      </c>
      <c r="H3839" t="str">
        <f>"00000000"</f>
        <v>00000000</v>
      </c>
      <c r="I3839" t="s">
        <v>35</v>
      </c>
      <c r="J3839"/>
      <c r="K3839">
        <v>16.86</v>
      </c>
      <c r="L3839">
        <v>0.0</v>
      </c>
      <c r="M3839"/>
      <c r="N3839"/>
      <c r="O3839">
        <v>3.04</v>
      </c>
      <c r="P3839">
        <v>0.0</v>
      </c>
      <c r="Q3839">
        <v>19.9</v>
      </c>
      <c r="R3839"/>
      <c r="S3839"/>
      <c r="T3839"/>
      <c r="U3839"/>
      <c r="V3839"/>
      <c r="W3839">
        <v>18</v>
      </c>
    </row>
    <row r="3840" spans="1:23">
      <c r="A3840"/>
      <c r="B3840" t="s">
        <v>86</v>
      </c>
      <c r="C3840" t="s">
        <v>86</v>
      </c>
      <c r="D3840" t="s">
        <v>36</v>
      </c>
      <c r="E3840" t="s">
        <v>37</v>
      </c>
      <c r="F3840" t="str">
        <f>"0000053"</f>
        <v>0000053</v>
      </c>
      <c r="G3840">
        <v>6</v>
      </c>
      <c r="H3840" t="str">
        <f>"20488045785"</f>
        <v>20488045785</v>
      </c>
      <c r="I3840" t="s">
        <v>54</v>
      </c>
      <c r="J3840"/>
      <c r="K3840">
        <v>6.27</v>
      </c>
      <c r="L3840">
        <v>12.85</v>
      </c>
      <c r="M3840"/>
      <c r="N3840"/>
      <c r="O3840">
        <v>1.13</v>
      </c>
      <c r="P3840">
        <v>0.0</v>
      </c>
      <c r="Q3840">
        <v>20.25</v>
      </c>
      <c r="R3840"/>
      <c r="S3840"/>
      <c r="T3840"/>
      <c r="U3840"/>
      <c r="V3840"/>
      <c r="W3840">
        <v>18</v>
      </c>
    </row>
    <row r="3841" spans="1:23">
      <c r="A3841"/>
      <c r="B3841" t="s">
        <v>86</v>
      </c>
      <c r="C3841" t="s">
        <v>86</v>
      </c>
      <c r="D3841" t="s">
        <v>33</v>
      </c>
      <c r="E3841" t="s">
        <v>34</v>
      </c>
      <c r="F3841" t="str">
        <f>"0004132"</f>
        <v>0004132</v>
      </c>
      <c r="G3841">
        <v>1</v>
      </c>
      <c r="H3841" t="str">
        <f>"00000000"</f>
        <v>00000000</v>
      </c>
      <c r="I3841" t="s">
        <v>35</v>
      </c>
      <c r="J3841"/>
      <c r="K3841">
        <v>17.73</v>
      </c>
      <c r="L3841">
        <v>0.0</v>
      </c>
      <c r="M3841"/>
      <c r="N3841"/>
      <c r="O3841">
        <v>3.19</v>
      </c>
      <c r="P3841">
        <v>0.2</v>
      </c>
      <c r="Q3841">
        <v>21.12</v>
      </c>
      <c r="R3841"/>
      <c r="S3841"/>
      <c r="T3841"/>
      <c r="U3841"/>
      <c r="V3841"/>
      <c r="W3841">
        <v>18</v>
      </c>
    </row>
    <row r="3842" spans="1:23">
      <c r="A3842"/>
      <c r="B3842" t="s">
        <v>86</v>
      </c>
      <c r="C3842" t="s">
        <v>86</v>
      </c>
      <c r="D3842" t="s">
        <v>33</v>
      </c>
      <c r="E3842" t="s">
        <v>34</v>
      </c>
      <c r="F3842" t="str">
        <f>"0004133"</f>
        <v>0004133</v>
      </c>
      <c r="G3842">
        <v>1</v>
      </c>
      <c r="H3842" t="str">
        <f>"00000000"</f>
        <v>00000000</v>
      </c>
      <c r="I3842" t="s">
        <v>35</v>
      </c>
      <c r="J3842"/>
      <c r="K3842">
        <v>9.32</v>
      </c>
      <c r="L3842">
        <v>0.0</v>
      </c>
      <c r="M3842"/>
      <c r="N3842"/>
      <c r="O3842">
        <v>1.68</v>
      </c>
      <c r="P3842">
        <v>0.0</v>
      </c>
      <c r="Q3842">
        <v>11.0</v>
      </c>
      <c r="R3842"/>
      <c r="S3842"/>
      <c r="T3842"/>
      <c r="U3842"/>
      <c r="V3842"/>
      <c r="W3842">
        <v>18</v>
      </c>
    </row>
    <row r="3843" spans="1:23">
      <c r="A3843"/>
      <c r="B3843" t="s">
        <v>86</v>
      </c>
      <c r="C3843" t="s">
        <v>86</v>
      </c>
      <c r="D3843" t="s">
        <v>33</v>
      </c>
      <c r="E3843" t="s">
        <v>34</v>
      </c>
      <c r="F3843" t="str">
        <f>"0004134"</f>
        <v>0004134</v>
      </c>
      <c r="G3843">
        <v>1</v>
      </c>
      <c r="H3843" t="str">
        <f>"00000000"</f>
        <v>00000000</v>
      </c>
      <c r="I3843" t="s">
        <v>35</v>
      </c>
      <c r="J3843"/>
      <c r="K3843">
        <v>47.12</v>
      </c>
      <c r="L3843">
        <v>0.0</v>
      </c>
      <c r="M3843"/>
      <c r="N3843"/>
      <c r="O3843">
        <v>8.48</v>
      </c>
      <c r="P3843">
        <v>0.0</v>
      </c>
      <c r="Q3843">
        <v>55.6</v>
      </c>
      <c r="R3843"/>
      <c r="S3843"/>
      <c r="T3843"/>
      <c r="U3843"/>
      <c r="V3843"/>
      <c r="W3843">
        <v>18</v>
      </c>
    </row>
    <row r="3844" spans="1:23">
      <c r="A3844"/>
      <c r="B3844" t="s">
        <v>86</v>
      </c>
      <c r="C3844" t="s">
        <v>86</v>
      </c>
      <c r="D3844" t="s">
        <v>33</v>
      </c>
      <c r="E3844" t="s">
        <v>34</v>
      </c>
      <c r="F3844" t="str">
        <f>"0004135"</f>
        <v>0004135</v>
      </c>
      <c r="G3844">
        <v>1</v>
      </c>
      <c r="H3844" t="str">
        <f>"00000000"</f>
        <v>00000000</v>
      </c>
      <c r="I3844" t="s">
        <v>35</v>
      </c>
      <c r="J3844"/>
      <c r="K3844">
        <v>15.06</v>
      </c>
      <c r="L3844">
        <v>0.0</v>
      </c>
      <c r="M3844"/>
      <c r="N3844"/>
      <c r="O3844">
        <v>2.71</v>
      </c>
      <c r="P3844">
        <v>0.2</v>
      </c>
      <c r="Q3844">
        <v>17.97</v>
      </c>
      <c r="R3844"/>
      <c r="S3844"/>
      <c r="T3844"/>
      <c r="U3844"/>
      <c r="V3844"/>
      <c r="W3844">
        <v>18</v>
      </c>
    </row>
    <row r="3845" spans="1:23">
      <c r="A3845"/>
      <c r="B3845" t="s">
        <v>86</v>
      </c>
      <c r="C3845" t="s">
        <v>86</v>
      </c>
      <c r="D3845" t="s">
        <v>33</v>
      </c>
      <c r="E3845" t="s">
        <v>34</v>
      </c>
      <c r="F3845" t="str">
        <f>"0004136"</f>
        <v>0004136</v>
      </c>
      <c r="G3845">
        <v>1</v>
      </c>
      <c r="H3845" t="str">
        <f>"00000000"</f>
        <v>00000000</v>
      </c>
      <c r="I3845" t="s">
        <v>35</v>
      </c>
      <c r="J3845"/>
      <c r="K3845">
        <v>37.81</v>
      </c>
      <c r="L3845">
        <v>0.0</v>
      </c>
      <c r="M3845"/>
      <c r="N3845"/>
      <c r="O3845">
        <v>6.81</v>
      </c>
      <c r="P3845">
        <v>0.2</v>
      </c>
      <c r="Q3845">
        <v>44.82</v>
      </c>
      <c r="R3845"/>
      <c r="S3845"/>
      <c r="T3845"/>
      <c r="U3845"/>
      <c r="V3845"/>
      <c r="W3845">
        <v>18</v>
      </c>
    </row>
    <row r="3846" spans="1:23">
      <c r="A3846"/>
      <c r="B3846" t="s">
        <v>86</v>
      </c>
      <c r="C3846" t="s">
        <v>86</v>
      </c>
      <c r="D3846" t="s">
        <v>33</v>
      </c>
      <c r="E3846" t="s">
        <v>34</v>
      </c>
      <c r="F3846" t="str">
        <f>"0004137"</f>
        <v>0004137</v>
      </c>
      <c r="G3846">
        <v>1</v>
      </c>
      <c r="H3846" t="str">
        <f>"00000000"</f>
        <v>00000000</v>
      </c>
      <c r="I3846" t="s">
        <v>35</v>
      </c>
      <c r="J3846"/>
      <c r="K3846">
        <v>9.15</v>
      </c>
      <c r="L3846">
        <v>6.12</v>
      </c>
      <c r="M3846"/>
      <c r="N3846"/>
      <c r="O3846">
        <v>1.65</v>
      </c>
      <c r="P3846">
        <v>0.0</v>
      </c>
      <c r="Q3846">
        <v>16.92</v>
      </c>
      <c r="R3846"/>
      <c r="S3846"/>
      <c r="T3846"/>
      <c r="U3846"/>
      <c r="V3846"/>
      <c r="W3846">
        <v>18</v>
      </c>
    </row>
    <row r="3847" spans="1:23">
      <c r="A3847"/>
      <c r="B3847" t="s">
        <v>86</v>
      </c>
      <c r="C3847" t="s">
        <v>86</v>
      </c>
      <c r="D3847" t="s">
        <v>33</v>
      </c>
      <c r="E3847" t="s">
        <v>34</v>
      </c>
      <c r="F3847" t="str">
        <f>"0004138"</f>
        <v>0004138</v>
      </c>
      <c r="G3847">
        <v>1</v>
      </c>
      <c r="H3847" t="str">
        <f>"00000000"</f>
        <v>00000000</v>
      </c>
      <c r="I3847" t="s">
        <v>35</v>
      </c>
      <c r="J3847"/>
      <c r="K3847">
        <v>5.48</v>
      </c>
      <c r="L3847">
        <v>0.0</v>
      </c>
      <c r="M3847"/>
      <c r="N3847"/>
      <c r="O3847">
        <v>0.99</v>
      </c>
      <c r="P3847">
        <v>0.0</v>
      </c>
      <c r="Q3847">
        <v>6.47</v>
      </c>
      <c r="R3847"/>
      <c r="S3847"/>
      <c r="T3847"/>
      <c r="U3847"/>
      <c r="V3847"/>
      <c r="W3847">
        <v>18</v>
      </c>
    </row>
    <row r="3848" spans="1:23">
      <c r="A3848"/>
      <c r="B3848" t="s">
        <v>86</v>
      </c>
      <c r="C3848" t="s">
        <v>86</v>
      </c>
      <c r="D3848" t="s">
        <v>33</v>
      </c>
      <c r="E3848" t="s">
        <v>34</v>
      </c>
      <c r="F3848" t="str">
        <f>"0004139"</f>
        <v>0004139</v>
      </c>
      <c r="G3848">
        <v>1</v>
      </c>
      <c r="H3848" t="str">
        <f>"00000000"</f>
        <v>00000000</v>
      </c>
      <c r="I3848" t="s">
        <v>35</v>
      </c>
      <c r="J3848"/>
      <c r="K3848">
        <v>2.12</v>
      </c>
      <c r="L3848">
        <v>0.0</v>
      </c>
      <c r="M3848"/>
      <c r="N3848"/>
      <c r="O3848">
        <v>0.38</v>
      </c>
      <c r="P3848">
        <v>0.0</v>
      </c>
      <c r="Q3848">
        <v>2.5</v>
      </c>
      <c r="R3848"/>
      <c r="S3848"/>
      <c r="T3848"/>
      <c r="U3848"/>
      <c r="V3848"/>
      <c r="W3848">
        <v>18</v>
      </c>
    </row>
    <row r="3849" spans="1:23">
      <c r="A3849"/>
      <c r="B3849" t="s">
        <v>86</v>
      </c>
      <c r="C3849" t="s">
        <v>86</v>
      </c>
      <c r="D3849" t="s">
        <v>33</v>
      </c>
      <c r="E3849" t="s">
        <v>34</v>
      </c>
      <c r="F3849" t="str">
        <f>"0004140"</f>
        <v>0004140</v>
      </c>
      <c r="G3849">
        <v>1</v>
      </c>
      <c r="H3849" t="str">
        <f>"00000000"</f>
        <v>00000000</v>
      </c>
      <c r="I3849" t="s">
        <v>35</v>
      </c>
      <c r="J3849"/>
      <c r="K3849">
        <v>0.85</v>
      </c>
      <c r="L3849">
        <v>0.0</v>
      </c>
      <c r="M3849"/>
      <c r="N3849"/>
      <c r="O3849">
        <v>0.15</v>
      </c>
      <c r="P3849">
        <v>0.0</v>
      </c>
      <c r="Q3849">
        <v>1.0</v>
      </c>
      <c r="R3849"/>
      <c r="S3849"/>
      <c r="T3849"/>
      <c r="U3849"/>
      <c r="V3849"/>
      <c r="W3849">
        <v>18</v>
      </c>
    </row>
    <row r="3850" spans="1:23">
      <c r="A3850"/>
      <c r="B3850" t="s">
        <v>86</v>
      </c>
      <c r="C3850" t="s">
        <v>86</v>
      </c>
      <c r="D3850" t="s">
        <v>33</v>
      </c>
      <c r="E3850" t="s">
        <v>34</v>
      </c>
      <c r="F3850" t="str">
        <f>"0004141"</f>
        <v>0004141</v>
      </c>
      <c r="G3850">
        <v>1</v>
      </c>
      <c r="H3850" t="str">
        <f>"00000000"</f>
        <v>00000000</v>
      </c>
      <c r="I3850" t="s">
        <v>35</v>
      </c>
      <c r="J3850"/>
      <c r="K3850">
        <v>7.97</v>
      </c>
      <c r="L3850">
        <v>0.0</v>
      </c>
      <c r="M3850"/>
      <c r="N3850"/>
      <c r="O3850">
        <v>1.43</v>
      </c>
      <c r="P3850">
        <v>0.0</v>
      </c>
      <c r="Q3850">
        <v>9.4</v>
      </c>
      <c r="R3850"/>
      <c r="S3850"/>
      <c r="T3850"/>
      <c r="U3850"/>
      <c r="V3850"/>
      <c r="W3850">
        <v>18</v>
      </c>
    </row>
    <row r="3851" spans="1:23">
      <c r="A3851"/>
      <c r="B3851" t="s">
        <v>86</v>
      </c>
      <c r="C3851" t="s">
        <v>86</v>
      </c>
      <c r="D3851" t="s">
        <v>33</v>
      </c>
      <c r="E3851" t="s">
        <v>34</v>
      </c>
      <c r="F3851" t="str">
        <f>"0004142"</f>
        <v>0004142</v>
      </c>
      <c r="G3851">
        <v>1</v>
      </c>
      <c r="H3851" t="str">
        <f>"00000000"</f>
        <v>00000000</v>
      </c>
      <c r="I3851" t="s">
        <v>35</v>
      </c>
      <c r="J3851"/>
      <c r="K3851">
        <v>1.86</v>
      </c>
      <c r="L3851">
        <v>0.0</v>
      </c>
      <c r="M3851"/>
      <c r="N3851"/>
      <c r="O3851">
        <v>0.34</v>
      </c>
      <c r="P3851">
        <v>0.0</v>
      </c>
      <c r="Q3851">
        <v>2.2</v>
      </c>
      <c r="R3851"/>
      <c r="S3851"/>
      <c r="T3851"/>
      <c r="U3851"/>
      <c r="V3851"/>
      <c r="W3851">
        <v>18</v>
      </c>
    </row>
    <row r="3852" spans="1:23">
      <c r="A3852"/>
      <c r="B3852" t="s">
        <v>86</v>
      </c>
      <c r="C3852" t="s">
        <v>86</v>
      </c>
      <c r="D3852" t="s">
        <v>33</v>
      </c>
      <c r="E3852" t="s">
        <v>34</v>
      </c>
      <c r="F3852" t="str">
        <f>"0004143"</f>
        <v>0004143</v>
      </c>
      <c r="G3852">
        <v>1</v>
      </c>
      <c r="H3852" t="str">
        <f>"00000000"</f>
        <v>00000000</v>
      </c>
      <c r="I3852" t="s">
        <v>35</v>
      </c>
      <c r="J3852"/>
      <c r="K3852">
        <v>3.81</v>
      </c>
      <c r="L3852">
        <v>0.0</v>
      </c>
      <c r="M3852"/>
      <c r="N3852"/>
      <c r="O3852">
        <v>0.69</v>
      </c>
      <c r="P3852">
        <v>0.0</v>
      </c>
      <c r="Q3852">
        <v>4.5</v>
      </c>
      <c r="R3852"/>
      <c r="S3852"/>
      <c r="T3852"/>
      <c r="U3852"/>
      <c r="V3852"/>
      <c r="W3852">
        <v>18</v>
      </c>
    </row>
    <row r="3853" spans="1:23">
      <c r="A3853"/>
      <c r="B3853" t="s">
        <v>91</v>
      </c>
      <c r="C3853" t="s">
        <v>91</v>
      </c>
      <c r="D3853" t="s">
        <v>33</v>
      </c>
      <c r="E3853" t="s">
        <v>34</v>
      </c>
      <c r="F3853" t="str">
        <f>"0004144"</f>
        <v>0004144</v>
      </c>
      <c r="G3853">
        <v>1</v>
      </c>
      <c r="H3853" t="str">
        <f>"00000000"</f>
        <v>00000000</v>
      </c>
      <c r="I3853" t="s">
        <v>35</v>
      </c>
      <c r="J3853"/>
      <c r="K3853">
        <v>4.83</v>
      </c>
      <c r="L3853">
        <v>0.0</v>
      </c>
      <c r="M3853"/>
      <c r="N3853"/>
      <c r="O3853">
        <v>0.87</v>
      </c>
      <c r="P3853">
        <v>0.0</v>
      </c>
      <c r="Q3853">
        <v>5.7</v>
      </c>
      <c r="R3853"/>
      <c r="S3853"/>
      <c r="T3853"/>
      <c r="U3853"/>
      <c r="V3853"/>
      <c r="W3853">
        <v>18</v>
      </c>
    </row>
    <row r="3854" spans="1:23">
      <c r="A3854"/>
      <c r="B3854" t="s">
        <v>91</v>
      </c>
      <c r="C3854" t="s">
        <v>91</v>
      </c>
      <c r="D3854" t="s">
        <v>33</v>
      </c>
      <c r="E3854" t="s">
        <v>34</v>
      </c>
      <c r="F3854" t="str">
        <f>"0004145"</f>
        <v>0004145</v>
      </c>
      <c r="G3854">
        <v>1</v>
      </c>
      <c r="H3854" t="str">
        <f>"00000000"</f>
        <v>00000000</v>
      </c>
      <c r="I3854" t="s">
        <v>35</v>
      </c>
      <c r="J3854"/>
      <c r="K3854">
        <v>10.56</v>
      </c>
      <c r="L3854">
        <v>0.0</v>
      </c>
      <c r="M3854"/>
      <c r="N3854"/>
      <c r="O3854">
        <v>1.9</v>
      </c>
      <c r="P3854">
        <v>0.0</v>
      </c>
      <c r="Q3854">
        <v>12.47</v>
      </c>
      <c r="R3854"/>
      <c r="S3854"/>
      <c r="T3854"/>
      <c r="U3854"/>
      <c r="V3854"/>
      <c r="W3854">
        <v>18</v>
      </c>
    </row>
    <row r="3855" spans="1:23">
      <c r="A3855"/>
      <c r="B3855" t="s">
        <v>91</v>
      </c>
      <c r="C3855" t="s">
        <v>91</v>
      </c>
      <c r="D3855" t="s">
        <v>33</v>
      </c>
      <c r="E3855" t="s">
        <v>34</v>
      </c>
      <c r="F3855" t="str">
        <f>"0004146"</f>
        <v>0004146</v>
      </c>
      <c r="G3855">
        <v>1</v>
      </c>
      <c r="H3855" t="str">
        <f>"00000000"</f>
        <v>00000000</v>
      </c>
      <c r="I3855" t="s">
        <v>35</v>
      </c>
      <c r="J3855"/>
      <c r="K3855">
        <v>0.02</v>
      </c>
      <c r="L3855">
        <v>0.0</v>
      </c>
      <c r="M3855"/>
      <c r="N3855"/>
      <c r="O3855">
        <v>0.0</v>
      </c>
      <c r="P3855">
        <v>0.2</v>
      </c>
      <c r="Q3855">
        <v>0.22</v>
      </c>
      <c r="R3855"/>
      <c r="S3855"/>
      <c r="T3855"/>
      <c r="U3855"/>
      <c r="V3855"/>
      <c r="W3855">
        <v>18</v>
      </c>
    </row>
    <row r="3856" spans="1:23">
      <c r="A3856"/>
      <c r="B3856" t="s">
        <v>91</v>
      </c>
      <c r="C3856" t="s">
        <v>91</v>
      </c>
      <c r="D3856" t="s">
        <v>33</v>
      </c>
      <c r="E3856" t="s">
        <v>34</v>
      </c>
      <c r="F3856" t="str">
        <f>"0004147"</f>
        <v>0004147</v>
      </c>
      <c r="G3856">
        <v>1</v>
      </c>
      <c r="H3856" t="str">
        <f>"00000000"</f>
        <v>00000000</v>
      </c>
      <c r="I3856" t="s">
        <v>35</v>
      </c>
      <c r="J3856"/>
      <c r="K3856">
        <v>3.81</v>
      </c>
      <c r="L3856">
        <v>0.0</v>
      </c>
      <c r="M3856"/>
      <c r="N3856"/>
      <c r="O3856">
        <v>0.69</v>
      </c>
      <c r="P3856">
        <v>0.0</v>
      </c>
      <c r="Q3856">
        <v>4.5</v>
      </c>
      <c r="R3856"/>
      <c r="S3856"/>
      <c r="T3856"/>
      <c r="U3856"/>
      <c r="V3856"/>
      <c r="W3856">
        <v>18</v>
      </c>
    </row>
    <row r="3857" spans="1:23">
      <c r="A3857"/>
      <c r="B3857" t="s">
        <v>91</v>
      </c>
      <c r="C3857" t="s">
        <v>91</v>
      </c>
      <c r="D3857" t="s">
        <v>33</v>
      </c>
      <c r="E3857" t="s">
        <v>34</v>
      </c>
      <c r="F3857" t="str">
        <f>"0004148"</f>
        <v>0004148</v>
      </c>
      <c r="G3857">
        <v>1</v>
      </c>
      <c r="H3857" t="str">
        <f>"00000000"</f>
        <v>00000000</v>
      </c>
      <c r="I3857" t="s">
        <v>35</v>
      </c>
      <c r="J3857"/>
      <c r="K3857">
        <v>12.37</v>
      </c>
      <c r="L3857">
        <v>2.64</v>
      </c>
      <c r="M3857"/>
      <c r="N3857"/>
      <c r="O3857">
        <v>2.23</v>
      </c>
      <c r="P3857">
        <v>0.0</v>
      </c>
      <c r="Q3857">
        <v>17.24</v>
      </c>
      <c r="R3857"/>
      <c r="S3857"/>
      <c r="T3857"/>
      <c r="U3857"/>
      <c r="V3857"/>
      <c r="W3857">
        <v>18</v>
      </c>
    </row>
    <row r="3858" spans="1:23">
      <c r="A3858"/>
      <c r="B3858" t="s">
        <v>91</v>
      </c>
      <c r="C3858" t="s">
        <v>91</v>
      </c>
      <c r="D3858" t="s">
        <v>33</v>
      </c>
      <c r="E3858" t="s">
        <v>34</v>
      </c>
      <c r="F3858" t="str">
        <f>"0004149"</f>
        <v>0004149</v>
      </c>
      <c r="G3858">
        <v>1</v>
      </c>
      <c r="H3858" t="str">
        <f>"00000000"</f>
        <v>00000000</v>
      </c>
      <c r="I3858" t="s">
        <v>35</v>
      </c>
      <c r="J3858"/>
      <c r="K3858">
        <v>8.22</v>
      </c>
      <c r="L3858">
        <v>0.49</v>
      </c>
      <c r="M3858"/>
      <c r="N3858"/>
      <c r="O3858">
        <v>1.48</v>
      </c>
      <c r="P3858">
        <v>0.0</v>
      </c>
      <c r="Q3858">
        <v>10.19</v>
      </c>
      <c r="R3858"/>
      <c r="S3858"/>
      <c r="T3858"/>
      <c r="U3858"/>
      <c r="V3858"/>
      <c r="W3858">
        <v>18</v>
      </c>
    </row>
    <row r="3859" spans="1:23">
      <c r="A3859"/>
      <c r="B3859" t="s">
        <v>91</v>
      </c>
      <c r="C3859" t="s">
        <v>91</v>
      </c>
      <c r="D3859" t="s">
        <v>33</v>
      </c>
      <c r="E3859" t="s">
        <v>34</v>
      </c>
      <c r="F3859" t="str">
        <f>"0004150"</f>
        <v>0004150</v>
      </c>
      <c r="G3859">
        <v>1</v>
      </c>
      <c r="H3859" t="str">
        <f>"00000000"</f>
        <v>00000000</v>
      </c>
      <c r="I3859" t="s">
        <v>35</v>
      </c>
      <c r="J3859"/>
      <c r="K3859">
        <v>2.47</v>
      </c>
      <c r="L3859">
        <v>1.5</v>
      </c>
      <c r="M3859"/>
      <c r="N3859"/>
      <c r="O3859">
        <v>0.45</v>
      </c>
      <c r="P3859">
        <v>0.2</v>
      </c>
      <c r="Q3859">
        <v>4.62</v>
      </c>
      <c r="R3859"/>
      <c r="S3859"/>
      <c r="T3859"/>
      <c r="U3859"/>
      <c r="V3859"/>
      <c r="W3859">
        <v>18</v>
      </c>
    </row>
    <row r="3860" spans="1:23">
      <c r="A3860"/>
      <c r="B3860" t="s">
        <v>91</v>
      </c>
      <c r="C3860" t="s">
        <v>91</v>
      </c>
      <c r="D3860" t="s">
        <v>33</v>
      </c>
      <c r="E3860" t="s">
        <v>34</v>
      </c>
      <c r="F3860" t="str">
        <f>"0004151"</f>
        <v>0004151</v>
      </c>
      <c r="G3860">
        <v>1</v>
      </c>
      <c r="H3860" t="str">
        <f>"00000000"</f>
        <v>00000000</v>
      </c>
      <c r="I3860" t="s">
        <v>35</v>
      </c>
      <c r="J3860"/>
      <c r="K3860">
        <v>3.81</v>
      </c>
      <c r="L3860">
        <v>0.0</v>
      </c>
      <c r="M3860"/>
      <c r="N3860"/>
      <c r="O3860">
        <v>0.69</v>
      </c>
      <c r="P3860">
        <v>0.0</v>
      </c>
      <c r="Q3860">
        <v>4.5</v>
      </c>
      <c r="R3860"/>
      <c r="S3860"/>
      <c r="T3860"/>
      <c r="U3860"/>
      <c r="V3860"/>
      <c r="W3860">
        <v>18</v>
      </c>
    </row>
    <row r="3861" spans="1:23">
      <c r="A3861"/>
      <c r="B3861" t="s">
        <v>91</v>
      </c>
      <c r="C3861" t="s">
        <v>91</v>
      </c>
      <c r="D3861" t="s">
        <v>33</v>
      </c>
      <c r="E3861" t="s">
        <v>34</v>
      </c>
      <c r="F3861" t="str">
        <f>"0004152"</f>
        <v>0004152</v>
      </c>
      <c r="G3861">
        <v>1</v>
      </c>
      <c r="H3861" t="str">
        <f>"00000000"</f>
        <v>00000000</v>
      </c>
      <c r="I3861" t="s">
        <v>35</v>
      </c>
      <c r="J3861"/>
      <c r="K3861">
        <v>12.05</v>
      </c>
      <c r="L3861">
        <v>13.65</v>
      </c>
      <c r="M3861"/>
      <c r="N3861"/>
      <c r="O3861">
        <v>2.17</v>
      </c>
      <c r="P3861">
        <v>0.4</v>
      </c>
      <c r="Q3861">
        <v>28.27</v>
      </c>
      <c r="R3861"/>
      <c r="S3861"/>
      <c r="T3861"/>
      <c r="U3861"/>
      <c r="V3861"/>
      <c r="W3861">
        <v>18</v>
      </c>
    </row>
    <row r="3862" spans="1:23">
      <c r="A3862"/>
      <c r="B3862" t="s">
        <v>91</v>
      </c>
      <c r="C3862" t="s">
        <v>91</v>
      </c>
      <c r="D3862" t="s">
        <v>33</v>
      </c>
      <c r="E3862" t="s">
        <v>34</v>
      </c>
      <c r="F3862" t="str">
        <f>"0004153"</f>
        <v>0004153</v>
      </c>
      <c r="G3862">
        <v>1</v>
      </c>
      <c r="H3862" t="str">
        <f>"00000000"</f>
        <v>00000000</v>
      </c>
      <c r="I3862" t="s">
        <v>35</v>
      </c>
      <c r="J3862"/>
      <c r="K3862">
        <v>12.11</v>
      </c>
      <c r="L3862">
        <v>12.59</v>
      </c>
      <c r="M3862"/>
      <c r="N3862"/>
      <c r="O3862">
        <v>2.18</v>
      </c>
      <c r="P3862">
        <v>0.0</v>
      </c>
      <c r="Q3862">
        <v>26.89</v>
      </c>
      <c r="R3862"/>
      <c r="S3862"/>
      <c r="T3862"/>
      <c r="U3862"/>
      <c r="V3862"/>
      <c r="W3862">
        <v>18</v>
      </c>
    </row>
    <row r="3863" spans="1:23">
      <c r="A3863"/>
      <c r="B3863" t="s">
        <v>91</v>
      </c>
      <c r="C3863" t="s">
        <v>91</v>
      </c>
      <c r="D3863" t="s">
        <v>33</v>
      </c>
      <c r="E3863" t="s">
        <v>34</v>
      </c>
      <c r="F3863" t="str">
        <f>"0004154"</f>
        <v>0004154</v>
      </c>
      <c r="G3863">
        <v>1</v>
      </c>
      <c r="H3863" t="str">
        <f>"00000000"</f>
        <v>00000000</v>
      </c>
      <c r="I3863" t="s">
        <v>35</v>
      </c>
      <c r="J3863"/>
      <c r="K3863">
        <v>5.68</v>
      </c>
      <c r="L3863">
        <v>0.0</v>
      </c>
      <c r="M3863"/>
      <c r="N3863"/>
      <c r="O3863">
        <v>1.02</v>
      </c>
      <c r="P3863">
        <v>0.0</v>
      </c>
      <c r="Q3863">
        <v>6.7</v>
      </c>
      <c r="R3863"/>
      <c r="S3863"/>
      <c r="T3863"/>
      <c r="U3863"/>
      <c r="V3863"/>
      <c r="W3863">
        <v>18</v>
      </c>
    </row>
    <row r="3864" spans="1:23">
      <c r="A3864"/>
      <c r="B3864" t="s">
        <v>91</v>
      </c>
      <c r="C3864" t="s">
        <v>91</v>
      </c>
      <c r="D3864" t="s">
        <v>33</v>
      </c>
      <c r="E3864" t="s">
        <v>34</v>
      </c>
      <c r="F3864" t="str">
        <f>"0004155"</f>
        <v>0004155</v>
      </c>
      <c r="G3864">
        <v>1</v>
      </c>
      <c r="H3864" t="str">
        <f>"00000000"</f>
        <v>00000000</v>
      </c>
      <c r="I3864" t="s">
        <v>35</v>
      </c>
      <c r="J3864"/>
      <c r="K3864">
        <v>14.04</v>
      </c>
      <c r="L3864">
        <v>2.85</v>
      </c>
      <c r="M3864"/>
      <c r="N3864"/>
      <c r="O3864">
        <v>2.53</v>
      </c>
      <c r="P3864">
        <v>0.2</v>
      </c>
      <c r="Q3864">
        <v>19.62</v>
      </c>
      <c r="R3864"/>
      <c r="S3864"/>
      <c r="T3864"/>
      <c r="U3864"/>
      <c r="V3864"/>
      <c r="W3864">
        <v>18</v>
      </c>
    </row>
    <row r="3865" spans="1:23">
      <c r="A3865"/>
      <c r="B3865" t="s">
        <v>91</v>
      </c>
      <c r="C3865" t="s">
        <v>91</v>
      </c>
      <c r="D3865" t="s">
        <v>33</v>
      </c>
      <c r="E3865" t="s">
        <v>34</v>
      </c>
      <c r="F3865" t="str">
        <f>"0004156"</f>
        <v>0004156</v>
      </c>
      <c r="G3865">
        <v>1</v>
      </c>
      <c r="H3865" t="str">
        <f>"00000000"</f>
        <v>00000000</v>
      </c>
      <c r="I3865" t="s">
        <v>35</v>
      </c>
      <c r="J3865"/>
      <c r="K3865">
        <v>0.0</v>
      </c>
      <c r="L3865">
        <v>8.81</v>
      </c>
      <c r="M3865"/>
      <c r="N3865"/>
      <c r="O3865">
        <v>0.0</v>
      </c>
      <c r="P3865">
        <v>0.0</v>
      </c>
      <c r="Q3865">
        <v>8.81</v>
      </c>
      <c r="R3865"/>
      <c r="S3865"/>
      <c r="T3865"/>
      <c r="U3865"/>
      <c r="V3865"/>
      <c r="W3865">
        <v>18</v>
      </c>
    </row>
    <row r="3866" spans="1:23">
      <c r="A3866"/>
      <c r="B3866" t="s">
        <v>91</v>
      </c>
      <c r="C3866" t="s">
        <v>91</v>
      </c>
      <c r="D3866" t="s">
        <v>33</v>
      </c>
      <c r="E3866" t="s">
        <v>34</v>
      </c>
      <c r="F3866" t="str">
        <f>"0004157"</f>
        <v>0004157</v>
      </c>
      <c r="G3866">
        <v>1</v>
      </c>
      <c r="H3866" t="str">
        <f>"00000000"</f>
        <v>00000000</v>
      </c>
      <c r="I3866" t="s">
        <v>35</v>
      </c>
      <c r="J3866"/>
      <c r="K3866">
        <v>1.27</v>
      </c>
      <c r="L3866">
        <v>0.0</v>
      </c>
      <c r="M3866"/>
      <c r="N3866"/>
      <c r="O3866">
        <v>0.23</v>
      </c>
      <c r="P3866">
        <v>0.0</v>
      </c>
      <c r="Q3866">
        <v>1.5</v>
      </c>
      <c r="R3866"/>
      <c r="S3866"/>
      <c r="T3866"/>
      <c r="U3866"/>
      <c r="V3866"/>
      <c r="W3866">
        <v>18</v>
      </c>
    </row>
    <row r="3867" spans="1:23">
      <c r="A3867"/>
      <c r="B3867" t="s">
        <v>91</v>
      </c>
      <c r="C3867" t="s">
        <v>91</v>
      </c>
      <c r="D3867" t="s">
        <v>33</v>
      </c>
      <c r="E3867" t="s">
        <v>34</v>
      </c>
      <c r="F3867" t="str">
        <f>"0004158"</f>
        <v>0004158</v>
      </c>
      <c r="G3867">
        <v>1</v>
      </c>
      <c r="H3867" t="str">
        <f>"00000000"</f>
        <v>00000000</v>
      </c>
      <c r="I3867" t="s">
        <v>35</v>
      </c>
      <c r="J3867"/>
      <c r="K3867">
        <v>14.92</v>
      </c>
      <c r="L3867">
        <v>0.0</v>
      </c>
      <c r="M3867"/>
      <c r="N3867"/>
      <c r="O3867">
        <v>2.68</v>
      </c>
      <c r="P3867">
        <v>0.0</v>
      </c>
      <c r="Q3867">
        <v>17.6</v>
      </c>
      <c r="R3867"/>
      <c r="S3867"/>
      <c r="T3867"/>
      <c r="U3867"/>
      <c r="V3867"/>
      <c r="W3867">
        <v>18</v>
      </c>
    </row>
    <row r="3868" spans="1:23">
      <c r="A3868"/>
      <c r="B3868" t="s">
        <v>91</v>
      </c>
      <c r="C3868" t="s">
        <v>91</v>
      </c>
      <c r="D3868" t="s">
        <v>33</v>
      </c>
      <c r="E3868" t="s">
        <v>34</v>
      </c>
      <c r="F3868" t="str">
        <f>"0004159"</f>
        <v>0004159</v>
      </c>
      <c r="G3868">
        <v>1</v>
      </c>
      <c r="H3868" t="str">
        <f>"00000000"</f>
        <v>00000000</v>
      </c>
      <c r="I3868" t="s">
        <v>35</v>
      </c>
      <c r="J3868"/>
      <c r="K3868">
        <v>2.54</v>
      </c>
      <c r="L3868">
        <v>0.0</v>
      </c>
      <c r="M3868"/>
      <c r="N3868"/>
      <c r="O3868">
        <v>0.46</v>
      </c>
      <c r="P3868">
        <v>0.0</v>
      </c>
      <c r="Q3868">
        <v>3.0</v>
      </c>
      <c r="R3868"/>
      <c r="S3868"/>
      <c r="T3868"/>
      <c r="U3868"/>
      <c r="V3868"/>
      <c r="W3868">
        <v>18</v>
      </c>
    </row>
    <row r="3869" spans="1:23">
      <c r="A3869"/>
      <c r="B3869" t="s">
        <v>91</v>
      </c>
      <c r="C3869" t="s">
        <v>91</v>
      </c>
      <c r="D3869" t="s">
        <v>33</v>
      </c>
      <c r="E3869" t="s">
        <v>34</v>
      </c>
      <c r="F3869" t="str">
        <f>"0004160"</f>
        <v>0004160</v>
      </c>
      <c r="G3869">
        <v>1</v>
      </c>
      <c r="H3869" t="str">
        <f>"00000000"</f>
        <v>00000000</v>
      </c>
      <c r="I3869" t="s">
        <v>35</v>
      </c>
      <c r="J3869"/>
      <c r="K3869">
        <v>37.5</v>
      </c>
      <c r="L3869">
        <v>6.3</v>
      </c>
      <c r="M3869"/>
      <c r="N3869"/>
      <c r="O3869">
        <v>6.75</v>
      </c>
      <c r="P3869">
        <v>0.0</v>
      </c>
      <c r="Q3869">
        <v>50.55</v>
      </c>
      <c r="R3869"/>
      <c r="S3869"/>
      <c r="T3869"/>
      <c r="U3869"/>
      <c r="V3869"/>
      <c r="W3869">
        <v>18</v>
      </c>
    </row>
    <row r="3870" spans="1:23">
      <c r="A3870"/>
      <c r="B3870" t="s">
        <v>91</v>
      </c>
      <c r="C3870" t="s">
        <v>91</v>
      </c>
      <c r="D3870" t="s">
        <v>33</v>
      </c>
      <c r="E3870" t="s">
        <v>34</v>
      </c>
      <c r="F3870" t="str">
        <f>"0004161"</f>
        <v>0004161</v>
      </c>
      <c r="G3870">
        <v>1</v>
      </c>
      <c r="H3870" t="str">
        <f>"00000000"</f>
        <v>00000000</v>
      </c>
      <c r="I3870" t="s">
        <v>35</v>
      </c>
      <c r="J3870"/>
      <c r="K3870">
        <v>61.67</v>
      </c>
      <c r="L3870">
        <v>48.72</v>
      </c>
      <c r="M3870"/>
      <c r="N3870"/>
      <c r="O3870">
        <v>11.1</v>
      </c>
      <c r="P3870">
        <v>0.0</v>
      </c>
      <c r="Q3870">
        <v>121.49</v>
      </c>
      <c r="R3870"/>
      <c r="S3870"/>
      <c r="T3870"/>
      <c r="U3870"/>
      <c r="V3870"/>
      <c r="W3870">
        <v>18</v>
      </c>
    </row>
    <row r="3871" spans="1:23">
      <c r="A3871"/>
      <c r="B3871" t="s">
        <v>91</v>
      </c>
      <c r="C3871" t="s">
        <v>91</v>
      </c>
      <c r="D3871" t="s">
        <v>33</v>
      </c>
      <c r="E3871" t="s">
        <v>34</v>
      </c>
      <c r="F3871" t="str">
        <f>"0004162"</f>
        <v>0004162</v>
      </c>
      <c r="G3871">
        <v>1</v>
      </c>
      <c r="H3871" t="str">
        <f>"00000000"</f>
        <v>00000000</v>
      </c>
      <c r="I3871" t="s">
        <v>35</v>
      </c>
      <c r="J3871"/>
      <c r="K3871">
        <v>0.02</v>
      </c>
      <c r="L3871">
        <v>0.0</v>
      </c>
      <c r="M3871"/>
      <c r="N3871"/>
      <c r="O3871">
        <v>0.0</v>
      </c>
      <c r="P3871">
        <v>0.2</v>
      </c>
      <c r="Q3871">
        <v>0.22</v>
      </c>
      <c r="R3871"/>
      <c r="S3871"/>
      <c r="T3871"/>
      <c r="U3871"/>
      <c r="V3871"/>
      <c r="W3871">
        <v>18</v>
      </c>
    </row>
    <row r="3872" spans="1:23">
      <c r="A3872"/>
      <c r="B3872" t="s">
        <v>91</v>
      </c>
      <c r="C3872" t="s">
        <v>91</v>
      </c>
      <c r="D3872" t="s">
        <v>33</v>
      </c>
      <c r="E3872" t="s">
        <v>34</v>
      </c>
      <c r="F3872" t="str">
        <f>"0004163"</f>
        <v>0004163</v>
      </c>
      <c r="G3872">
        <v>1</v>
      </c>
      <c r="H3872" t="str">
        <f>"00000000"</f>
        <v>00000000</v>
      </c>
      <c r="I3872" t="s">
        <v>35</v>
      </c>
      <c r="J3872"/>
      <c r="K3872">
        <v>6.29</v>
      </c>
      <c r="L3872">
        <v>0.0</v>
      </c>
      <c r="M3872"/>
      <c r="N3872"/>
      <c r="O3872">
        <v>1.13</v>
      </c>
      <c r="P3872">
        <v>0.0</v>
      </c>
      <c r="Q3872">
        <v>7.43</v>
      </c>
      <c r="R3872"/>
      <c r="S3872"/>
      <c r="T3872"/>
      <c r="U3872"/>
      <c r="V3872"/>
      <c r="W3872">
        <v>18</v>
      </c>
    </row>
    <row r="3873" spans="1:23">
      <c r="A3873"/>
      <c r="B3873" t="s">
        <v>91</v>
      </c>
      <c r="C3873" t="s">
        <v>91</v>
      </c>
      <c r="D3873" t="s">
        <v>33</v>
      </c>
      <c r="E3873" t="s">
        <v>34</v>
      </c>
      <c r="F3873" t="str">
        <f>"0004164"</f>
        <v>0004164</v>
      </c>
      <c r="G3873">
        <v>1</v>
      </c>
      <c r="H3873" t="str">
        <f>"00000000"</f>
        <v>00000000</v>
      </c>
      <c r="I3873" t="s">
        <v>35</v>
      </c>
      <c r="J3873"/>
      <c r="K3873">
        <v>2.03</v>
      </c>
      <c r="L3873">
        <v>4.99</v>
      </c>
      <c r="M3873"/>
      <c r="N3873"/>
      <c r="O3873">
        <v>0.37</v>
      </c>
      <c r="P3873">
        <v>0.0</v>
      </c>
      <c r="Q3873">
        <v>7.39</v>
      </c>
      <c r="R3873"/>
      <c r="S3873"/>
      <c r="T3873"/>
      <c r="U3873"/>
      <c r="V3873"/>
      <c r="W3873">
        <v>18</v>
      </c>
    </row>
    <row r="3874" spans="1:23">
      <c r="A3874"/>
      <c r="B3874" t="s">
        <v>91</v>
      </c>
      <c r="C3874" t="s">
        <v>91</v>
      </c>
      <c r="D3874" t="s">
        <v>33</v>
      </c>
      <c r="E3874" t="s">
        <v>34</v>
      </c>
      <c r="F3874" t="str">
        <f>"0004165"</f>
        <v>0004165</v>
      </c>
      <c r="G3874">
        <v>1</v>
      </c>
      <c r="H3874" t="str">
        <f>"00000000"</f>
        <v>00000000</v>
      </c>
      <c r="I3874" t="s">
        <v>35</v>
      </c>
      <c r="J3874"/>
      <c r="K3874">
        <v>77.66</v>
      </c>
      <c r="L3874">
        <v>0.0</v>
      </c>
      <c r="M3874"/>
      <c r="N3874"/>
      <c r="O3874">
        <v>13.98</v>
      </c>
      <c r="P3874">
        <v>0.0</v>
      </c>
      <c r="Q3874">
        <v>91.64</v>
      </c>
      <c r="R3874"/>
      <c r="S3874"/>
      <c r="T3874"/>
      <c r="U3874"/>
      <c r="V3874"/>
      <c r="W3874">
        <v>18</v>
      </c>
    </row>
    <row r="3875" spans="1:23">
      <c r="A3875"/>
      <c r="B3875" t="s">
        <v>91</v>
      </c>
      <c r="C3875" t="s">
        <v>91</v>
      </c>
      <c r="D3875" t="s">
        <v>33</v>
      </c>
      <c r="E3875" t="s">
        <v>34</v>
      </c>
      <c r="F3875" t="str">
        <f>"0004166"</f>
        <v>0004166</v>
      </c>
      <c r="G3875">
        <v>1</v>
      </c>
      <c r="H3875" t="str">
        <f>"00000000"</f>
        <v>00000000</v>
      </c>
      <c r="I3875" t="s">
        <v>35</v>
      </c>
      <c r="J3875"/>
      <c r="K3875">
        <v>0.02</v>
      </c>
      <c r="L3875">
        <v>0.0</v>
      </c>
      <c r="M3875"/>
      <c r="N3875"/>
      <c r="O3875">
        <v>0.0</v>
      </c>
      <c r="P3875">
        <v>0.2</v>
      </c>
      <c r="Q3875">
        <v>0.22</v>
      </c>
      <c r="R3875"/>
      <c r="S3875"/>
      <c r="T3875"/>
      <c r="U3875"/>
      <c r="V3875"/>
      <c r="W3875">
        <v>18</v>
      </c>
    </row>
    <row r="3876" spans="1:23">
      <c r="A3876"/>
      <c r="B3876" t="s">
        <v>91</v>
      </c>
      <c r="C3876" t="s">
        <v>91</v>
      </c>
      <c r="D3876" t="s">
        <v>33</v>
      </c>
      <c r="E3876" t="s">
        <v>34</v>
      </c>
      <c r="F3876" t="str">
        <f>"0004167"</f>
        <v>0004167</v>
      </c>
      <c r="G3876">
        <v>1</v>
      </c>
      <c r="H3876" t="str">
        <f>"00000000"</f>
        <v>00000000</v>
      </c>
      <c r="I3876" t="s">
        <v>35</v>
      </c>
      <c r="J3876"/>
      <c r="K3876">
        <v>30.54</v>
      </c>
      <c r="L3876">
        <v>14.18</v>
      </c>
      <c r="M3876"/>
      <c r="N3876"/>
      <c r="O3876">
        <v>5.5</v>
      </c>
      <c r="P3876">
        <v>0.4</v>
      </c>
      <c r="Q3876">
        <v>50.62</v>
      </c>
      <c r="R3876"/>
      <c r="S3876"/>
      <c r="T3876"/>
      <c r="U3876"/>
      <c r="V3876"/>
      <c r="W3876">
        <v>18</v>
      </c>
    </row>
    <row r="3877" spans="1:23">
      <c r="A3877"/>
      <c r="B3877" t="s">
        <v>91</v>
      </c>
      <c r="C3877" t="s">
        <v>91</v>
      </c>
      <c r="D3877" t="s">
        <v>33</v>
      </c>
      <c r="E3877" t="s">
        <v>34</v>
      </c>
      <c r="F3877" t="str">
        <f>"0004168"</f>
        <v>0004168</v>
      </c>
      <c r="G3877">
        <v>1</v>
      </c>
      <c r="H3877" t="str">
        <f>"00000000"</f>
        <v>00000000</v>
      </c>
      <c r="I3877" t="s">
        <v>35</v>
      </c>
      <c r="J3877"/>
      <c r="K3877">
        <v>6.12</v>
      </c>
      <c r="L3877">
        <v>0.0</v>
      </c>
      <c r="M3877"/>
      <c r="N3877"/>
      <c r="O3877">
        <v>1.1</v>
      </c>
      <c r="P3877">
        <v>0.2</v>
      </c>
      <c r="Q3877">
        <v>7.42</v>
      </c>
      <c r="R3877"/>
      <c r="S3877"/>
      <c r="T3877"/>
      <c r="U3877"/>
      <c r="V3877"/>
      <c r="W3877">
        <v>18</v>
      </c>
    </row>
    <row r="3878" spans="1:23">
      <c r="A3878"/>
      <c r="B3878" t="s">
        <v>91</v>
      </c>
      <c r="C3878" t="s">
        <v>91</v>
      </c>
      <c r="D3878" t="s">
        <v>33</v>
      </c>
      <c r="E3878" t="s">
        <v>34</v>
      </c>
      <c r="F3878" t="str">
        <f>"0004169"</f>
        <v>0004169</v>
      </c>
      <c r="G3878">
        <v>1</v>
      </c>
      <c r="H3878" t="str">
        <f>"00000000"</f>
        <v>00000000</v>
      </c>
      <c r="I3878" t="s">
        <v>35</v>
      </c>
      <c r="J3878"/>
      <c r="K3878">
        <v>4.81</v>
      </c>
      <c r="L3878">
        <v>3.43</v>
      </c>
      <c r="M3878"/>
      <c r="N3878"/>
      <c r="O3878">
        <v>0.86</v>
      </c>
      <c r="P3878">
        <v>0.2</v>
      </c>
      <c r="Q3878">
        <v>9.31</v>
      </c>
      <c r="R3878"/>
      <c r="S3878"/>
      <c r="T3878"/>
      <c r="U3878"/>
      <c r="V3878"/>
      <c r="W3878">
        <v>18</v>
      </c>
    </row>
    <row r="3879" spans="1:23">
      <c r="A3879"/>
      <c r="B3879" t="s">
        <v>91</v>
      </c>
      <c r="C3879" t="s">
        <v>91</v>
      </c>
      <c r="D3879" t="s">
        <v>33</v>
      </c>
      <c r="E3879" t="s">
        <v>34</v>
      </c>
      <c r="F3879" t="str">
        <f>"0004170"</f>
        <v>0004170</v>
      </c>
      <c r="G3879">
        <v>1</v>
      </c>
      <c r="H3879" t="str">
        <f>"00000000"</f>
        <v>00000000</v>
      </c>
      <c r="I3879" t="s">
        <v>35</v>
      </c>
      <c r="J3879"/>
      <c r="K3879">
        <v>24.3</v>
      </c>
      <c r="L3879">
        <v>0.0</v>
      </c>
      <c r="M3879"/>
      <c r="N3879"/>
      <c r="O3879">
        <v>4.37</v>
      </c>
      <c r="P3879">
        <v>0.2</v>
      </c>
      <c r="Q3879">
        <v>28.87</v>
      </c>
      <c r="R3879"/>
      <c r="S3879"/>
      <c r="T3879"/>
      <c r="U3879"/>
      <c r="V3879"/>
      <c r="W3879">
        <v>18</v>
      </c>
    </row>
    <row r="3880" spans="1:23">
      <c r="A3880"/>
      <c r="B3880" t="s">
        <v>91</v>
      </c>
      <c r="C3880" t="s">
        <v>91</v>
      </c>
      <c r="D3880" t="s">
        <v>33</v>
      </c>
      <c r="E3880" t="s">
        <v>34</v>
      </c>
      <c r="F3880" t="str">
        <f>"0004171"</f>
        <v>0004171</v>
      </c>
      <c r="G3880">
        <v>1</v>
      </c>
      <c r="H3880" t="str">
        <f>"00000000"</f>
        <v>00000000</v>
      </c>
      <c r="I3880" t="s">
        <v>35</v>
      </c>
      <c r="J3880"/>
      <c r="K3880">
        <v>3.15</v>
      </c>
      <c r="L3880">
        <v>7.38</v>
      </c>
      <c r="M3880"/>
      <c r="N3880"/>
      <c r="O3880">
        <v>0.57</v>
      </c>
      <c r="P3880">
        <v>0.2</v>
      </c>
      <c r="Q3880">
        <v>11.3</v>
      </c>
      <c r="R3880"/>
      <c r="S3880"/>
      <c r="T3880"/>
      <c r="U3880"/>
      <c r="V3880"/>
      <c r="W3880">
        <v>18</v>
      </c>
    </row>
    <row r="3881" spans="1:23">
      <c r="A3881"/>
      <c r="B3881" t="s">
        <v>91</v>
      </c>
      <c r="C3881" t="s">
        <v>91</v>
      </c>
      <c r="D3881" t="s">
        <v>33</v>
      </c>
      <c r="E3881" t="s">
        <v>34</v>
      </c>
      <c r="F3881" t="str">
        <f>"0004172"</f>
        <v>0004172</v>
      </c>
      <c r="G3881">
        <v>1</v>
      </c>
      <c r="H3881" t="str">
        <f>"00000000"</f>
        <v>00000000</v>
      </c>
      <c r="I3881" t="s">
        <v>35</v>
      </c>
      <c r="J3881"/>
      <c r="K3881">
        <v>0.0</v>
      </c>
      <c r="L3881">
        <v>3.27</v>
      </c>
      <c r="M3881"/>
      <c r="N3881"/>
      <c r="O3881">
        <v>0.0</v>
      </c>
      <c r="P3881">
        <v>0.0</v>
      </c>
      <c r="Q3881">
        <v>3.27</v>
      </c>
      <c r="R3881"/>
      <c r="S3881"/>
      <c r="T3881"/>
      <c r="U3881"/>
      <c r="V3881"/>
      <c r="W3881">
        <v>18</v>
      </c>
    </row>
    <row r="3882" spans="1:23">
      <c r="A3882"/>
      <c r="B3882" t="s">
        <v>91</v>
      </c>
      <c r="C3882" t="s">
        <v>91</v>
      </c>
      <c r="D3882" t="s">
        <v>33</v>
      </c>
      <c r="E3882" t="s">
        <v>34</v>
      </c>
      <c r="F3882" t="str">
        <f>"0004173"</f>
        <v>0004173</v>
      </c>
      <c r="G3882">
        <v>1</v>
      </c>
      <c r="H3882" t="str">
        <f>"00000000"</f>
        <v>00000000</v>
      </c>
      <c r="I3882" t="s">
        <v>35</v>
      </c>
      <c r="J3882"/>
      <c r="K3882">
        <v>2.46</v>
      </c>
      <c r="L3882">
        <v>1.8</v>
      </c>
      <c r="M3882"/>
      <c r="N3882"/>
      <c r="O3882">
        <v>0.44</v>
      </c>
      <c r="P3882">
        <v>0.0</v>
      </c>
      <c r="Q3882">
        <v>4.7</v>
      </c>
      <c r="R3882"/>
      <c r="S3882"/>
      <c r="T3882"/>
      <c r="U3882"/>
      <c r="V3882"/>
      <c r="W3882">
        <v>18</v>
      </c>
    </row>
    <row r="3883" spans="1:23">
      <c r="A3883"/>
      <c r="B3883" t="s">
        <v>91</v>
      </c>
      <c r="C3883" t="s">
        <v>91</v>
      </c>
      <c r="D3883" t="s">
        <v>33</v>
      </c>
      <c r="E3883" t="s">
        <v>34</v>
      </c>
      <c r="F3883" t="str">
        <f>"0004174"</f>
        <v>0004174</v>
      </c>
      <c r="G3883">
        <v>1</v>
      </c>
      <c r="H3883" t="str">
        <f>"00000000"</f>
        <v>00000000</v>
      </c>
      <c r="I3883" t="s">
        <v>35</v>
      </c>
      <c r="J3883"/>
      <c r="K3883">
        <v>3.3</v>
      </c>
      <c r="L3883">
        <v>0.0</v>
      </c>
      <c r="M3883"/>
      <c r="N3883"/>
      <c r="O3883">
        <v>0.59</v>
      </c>
      <c r="P3883">
        <v>0.0</v>
      </c>
      <c r="Q3883">
        <v>3.89</v>
      </c>
      <c r="R3883"/>
      <c r="S3883"/>
      <c r="T3883"/>
      <c r="U3883"/>
      <c r="V3883"/>
      <c r="W3883">
        <v>18</v>
      </c>
    </row>
    <row r="3884" spans="1:23">
      <c r="A3884"/>
      <c r="B3884" t="s">
        <v>91</v>
      </c>
      <c r="C3884" t="s">
        <v>91</v>
      </c>
      <c r="D3884" t="s">
        <v>33</v>
      </c>
      <c r="E3884" t="s">
        <v>34</v>
      </c>
      <c r="F3884" t="str">
        <f>"0004175"</f>
        <v>0004175</v>
      </c>
      <c r="G3884">
        <v>1</v>
      </c>
      <c r="H3884" t="str">
        <f>"00000000"</f>
        <v>00000000</v>
      </c>
      <c r="I3884" t="s">
        <v>35</v>
      </c>
      <c r="J3884"/>
      <c r="K3884">
        <v>0.0</v>
      </c>
      <c r="L3884">
        <v>3.02</v>
      </c>
      <c r="M3884"/>
      <c r="N3884"/>
      <c r="O3884">
        <v>0.0</v>
      </c>
      <c r="P3884">
        <v>0.0</v>
      </c>
      <c r="Q3884">
        <v>3.02</v>
      </c>
      <c r="R3884"/>
      <c r="S3884"/>
      <c r="T3884"/>
      <c r="U3884"/>
      <c r="V3884"/>
      <c r="W3884">
        <v>18</v>
      </c>
    </row>
    <row r="3885" spans="1:23">
      <c r="A3885"/>
      <c r="B3885" t="s">
        <v>91</v>
      </c>
      <c r="C3885" t="s">
        <v>91</v>
      </c>
      <c r="D3885" t="s">
        <v>33</v>
      </c>
      <c r="E3885" t="s">
        <v>34</v>
      </c>
      <c r="F3885" t="str">
        <f>"0004176"</f>
        <v>0004176</v>
      </c>
      <c r="G3885">
        <v>1</v>
      </c>
      <c r="H3885" t="str">
        <f>"00000000"</f>
        <v>00000000</v>
      </c>
      <c r="I3885" t="s">
        <v>35</v>
      </c>
      <c r="J3885"/>
      <c r="K3885">
        <v>8.05</v>
      </c>
      <c r="L3885">
        <v>0.0</v>
      </c>
      <c r="M3885"/>
      <c r="N3885"/>
      <c r="O3885">
        <v>1.45</v>
      </c>
      <c r="P3885">
        <v>0.0</v>
      </c>
      <c r="Q3885">
        <v>9.5</v>
      </c>
      <c r="R3885"/>
      <c r="S3885"/>
      <c r="T3885"/>
      <c r="U3885"/>
      <c r="V3885"/>
      <c r="W3885">
        <v>18</v>
      </c>
    </row>
    <row r="3886" spans="1:23">
      <c r="A3886"/>
      <c r="B3886" t="s">
        <v>91</v>
      </c>
      <c r="C3886" t="s">
        <v>91</v>
      </c>
      <c r="D3886" t="s">
        <v>33</v>
      </c>
      <c r="E3886" t="s">
        <v>34</v>
      </c>
      <c r="F3886" t="str">
        <f>"0004177"</f>
        <v>0004177</v>
      </c>
      <c r="G3886">
        <v>1</v>
      </c>
      <c r="H3886" t="str">
        <f>"00000000"</f>
        <v>00000000</v>
      </c>
      <c r="I3886" t="s">
        <v>35</v>
      </c>
      <c r="J3886"/>
      <c r="K3886">
        <v>8.92</v>
      </c>
      <c r="L3886">
        <v>0.0</v>
      </c>
      <c r="M3886"/>
      <c r="N3886"/>
      <c r="O3886">
        <v>1.6</v>
      </c>
      <c r="P3886">
        <v>0.2</v>
      </c>
      <c r="Q3886">
        <v>10.72</v>
      </c>
      <c r="R3886"/>
      <c r="S3886"/>
      <c r="T3886"/>
      <c r="U3886"/>
      <c r="V3886"/>
      <c r="W3886">
        <v>18</v>
      </c>
    </row>
    <row r="3887" spans="1:23">
      <c r="A3887"/>
      <c r="B3887" t="s">
        <v>91</v>
      </c>
      <c r="C3887" t="s">
        <v>91</v>
      </c>
      <c r="D3887" t="s">
        <v>33</v>
      </c>
      <c r="E3887" t="s">
        <v>34</v>
      </c>
      <c r="F3887" t="str">
        <f>"0004178"</f>
        <v>0004178</v>
      </c>
      <c r="G3887">
        <v>1</v>
      </c>
      <c r="H3887" t="str">
        <f>"00000000"</f>
        <v>00000000</v>
      </c>
      <c r="I3887" t="s">
        <v>35</v>
      </c>
      <c r="J3887"/>
      <c r="K3887">
        <v>20.25</v>
      </c>
      <c r="L3887">
        <v>0.0</v>
      </c>
      <c r="M3887"/>
      <c r="N3887"/>
      <c r="O3887">
        <v>3.65</v>
      </c>
      <c r="P3887">
        <v>0.0</v>
      </c>
      <c r="Q3887">
        <v>23.9</v>
      </c>
      <c r="R3887"/>
      <c r="S3887"/>
      <c r="T3887"/>
      <c r="U3887"/>
      <c r="V3887"/>
      <c r="W3887">
        <v>18</v>
      </c>
    </row>
    <row r="3888" spans="1:23">
      <c r="A3888"/>
      <c r="B3888" t="s">
        <v>91</v>
      </c>
      <c r="C3888" t="s">
        <v>91</v>
      </c>
      <c r="D3888" t="s">
        <v>33</v>
      </c>
      <c r="E3888" t="s">
        <v>34</v>
      </c>
      <c r="F3888" t="str">
        <f>"0004179"</f>
        <v>0004179</v>
      </c>
      <c r="G3888">
        <v>1</v>
      </c>
      <c r="H3888" t="str">
        <f>"00000000"</f>
        <v>00000000</v>
      </c>
      <c r="I3888" t="s">
        <v>35</v>
      </c>
      <c r="J3888"/>
      <c r="K3888">
        <v>0.02</v>
      </c>
      <c r="L3888">
        <v>0.0</v>
      </c>
      <c r="M3888"/>
      <c r="N3888"/>
      <c r="O3888">
        <v>0.0</v>
      </c>
      <c r="P3888">
        <v>0.2</v>
      </c>
      <c r="Q3888">
        <v>0.22</v>
      </c>
      <c r="R3888"/>
      <c r="S3888"/>
      <c r="T3888"/>
      <c r="U3888"/>
      <c r="V3888"/>
      <c r="W3888">
        <v>18</v>
      </c>
    </row>
    <row r="3889" spans="1:23">
      <c r="A3889"/>
      <c r="B3889" t="s">
        <v>91</v>
      </c>
      <c r="C3889" t="s">
        <v>91</v>
      </c>
      <c r="D3889" t="s">
        <v>33</v>
      </c>
      <c r="E3889" t="s">
        <v>34</v>
      </c>
      <c r="F3889" t="str">
        <f>"0004180"</f>
        <v>0004180</v>
      </c>
      <c r="G3889">
        <v>1</v>
      </c>
      <c r="H3889" t="str">
        <f>"00000000"</f>
        <v>00000000</v>
      </c>
      <c r="I3889" t="s">
        <v>35</v>
      </c>
      <c r="J3889"/>
      <c r="K3889">
        <v>30.61</v>
      </c>
      <c r="L3889">
        <v>0.0</v>
      </c>
      <c r="M3889"/>
      <c r="N3889"/>
      <c r="O3889">
        <v>5.51</v>
      </c>
      <c r="P3889">
        <v>0.2</v>
      </c>
      <c r="Q3889">
        <v>36.32</v>
      </c>
      <c r="R3889"/>
      <c r="S3889"/>
      <c r="T3889"/>
      <c r="U3889"/>
      <c r="V3889"/>
      <c r="W3889">
        <v>18</v>
      </c>
    </row>
    <row r="3890" spans="1:23">
      <c r="A3890"/>
      <c r="B3890" t="s">
        <v>91</v>
      </c>
      <c r="C3890" t="s">
        <v>91</v>
      </c>
      <c r="D3890" t="s">
        <v>33</v>
      </c>
      <c r="E3890" t="s">
        <v>34</v>
      </c>
      <c r="F3890" t="str">
        <f>"0004181"</f>
        <v>0004181</v>
      </c>
      <c r="G3890">
        <v>1</v>
      </c>
      <c r="H3890" t="str">
        <f>"00000000"</f>
        <v>00000000</v>
      </c>
      <c r="I3890" t="s">
        <v>35</v>
      </c>
      <c r="J3890"/>
      <c r="K3890">
        <v>41.57</v>
      </c>
      <c r="L3890">
        <v>6.0</v>
      </c>
      <c r="M3890"/>
      <c r="N3890"/>
      <c r="O3890">
        <v>7.48</v>
      </c>
      <c r="P3890">
        <v>0.4</v>
      </c>
      <c r="Q3890">
        <v>55.45</v>
      </c>
      <c r="R3890"/>
      <c r="S3890"/>
      <c r="T3890"/>
      <c r="U3890"/>
      <c r="V3890"/>
      <c r="W3890">
        <v>18</v>
      </c>
    </row>
    <row r="3891" spans="1:23">
      <c r="A3891"/>
      <c r="B3891" t="s">
        <v>91</v>
      </c>
      <c r="C3891" t="s">
        <v>91</v>
      </c>
      <c r="D3891" t="s">
        <v>33</v>
      </c>
      <c r="E3891" t="s">
        <v>34</v>
      </c>
      <c r="F3891" t="str">
        <f>"0004182"</f>
        <v>0004182</v>
      </c>
      <c r="G3891">
        <v>1</v>
      </c>
      <c r="H3891" t="str">
        <f>"00000000"</f>
        <v>00000000</v>
      </c>
      <c r="I3891" t="s">
        <v>35</v>
      </c>
      <c r="J3891"/>
      <c r="K3891">
        <v>2.75</v>
      </c>
      <c r="L3891">
        <v>0.0</v>
      </c>
      <c r="M3891"/>
      <c r="N3891"/>
      <c r="O3891">
        <v>0.5</v>
      </c>
      <c r="P3891">
        <v>0.0</v>
      </c>
      <c r="Q3891">
        <v>3.25</v>
      </c>
      <c r="R3891"/>
      <c r="S3891"/>
      <c r="T3891"/>
      <c r="U3891"/>
      <c r="V3891"/>
      <c r="W3891">
        <v>18</v>
      </c>
    </row>
    <row r="3892" spans="1:23">
      <c r="A3892"/>
      <c r="B3892" t="s">
        <v>91</v>
      </c>
      <c r="C3892" t="s">
        <v>91</v>
      </c>
      <c r="D3892" t="s">
        <v>33</v>
      </c>
      <c r="E3892" t="s">
        <v>34</v>
      </c>
      <c r="F3892" t="str">
        <f>"0004183"</f>
        <v>0004183</v>
      </c>
      <c r="G3892">
        <v>1</v>
      </c>
      <c r="H3892" t="str">
        <f>"00000000"</f>
        <v>00000000</v>
      </c>
      <c r="I3892" t="s">
        <v>35</v>
      </c>
      <c r="J3892"/>
      <c r="K3892">
        <v>35.69</v>
      </c>
      <c r="L3892">
        <v>0.0</v>
      </c>
      <c r="M3892"/>
      <c r="N3892"/>
      <c r="O3892">
        <v>6.43</v>
      </c>
      <c r="P3892">
        <v>0.2</v>
      </c>
      <c r="Q3892">
        <v>42.32</v>
      </c>
      <c r="R3892"/>
      <c r="S3892"/>
      <c r="T3892"/>
      <c r="U3892"/>
      <c r="V3892"/>
      <c r="W3892">
        <v>18</v>
      </c>
    </row>
    <row r="3893" spans="1:23">
      <c r="A3893"/>
      <c r="B3893" t="s">
        <v>91</v>
      </c>
      <c r="C3893" t="s">
        <v>91</v>
      </c>
      <c r="D3893" t="s">
        <v>33</v>
      </c>
      <c r="E3893" t="s">
        <v>34</v>
      </c>
      <c r="F3893" t="str">
        <f>"0004184"</f>
        <v>0004184</v>
      </c>
      <c r="G3893">
        <v>1</v>
      </c>
      <c r="H3893" t="str">
        <f>"00000000"</f>
        <v>00000000</v>
      </c>
      <c r="I3893" t="s">
        <v>35</v>
      </c>
      <c r="J3893"/>
      <c r="K3893">
        <v>21.47</v>
      </c>
      <c r="L3893">
        <v>22.69</v>
      </c>
      <c r="M3893"/>
      <c r="N3893"/>
      <c r="O3893">
        <v>3.87</v>
      </c>
      <c r="P3893">
        <v>0.4</v>
      </c>
      <c r="Q3893">
        <v>48.43</v>
      </c>
      <c r="R3893"/>
      <c r="S3893"/>
      <c r="T3893"/>
      <c r="U3893"/>
      <c r="V3893"/>
      <c r="W3893">
        <v>18</v>
      </c>
    </row>
    <row r="3894" spans="1:23">
      <c r="A3894"/>
      <c r="B3894" t="s">
        <v>91</v>
      </c>
      <c r="C3894" t="s">
        <v>91</v>
      </c>
      <c r="D3894" t="s">
        <v>33</v>
      </c>
      <c r="E3894" t="s">
        <v>34</v>
      </c>
      <c r="F3894" t="str">
        <f>"0004185"</f>
        <v>0004185</v>
      </c>
      <c r="G3894">
        <v>1</v>
      </c>
      <c r="H3894" t="str">
        <f>"00000000"</f>
        <v>00000000</v>
      </c>
      <c r="I3894" t="s">
        <v>35</v>
      </c>
      <c r="J3894"/>
      <c r="K3894">
        <v>13.07</v>
      </c>
      <c r="L3894">
        <v>2.32</v>
      </c>
      <c r="M3894"/>
      <c r="N3894"/>
      <c r="O3894">
        <v>2.35</v>
      </c>
      <c r="P3894">
        <v>0.2</v>
      </c>
      <c r="Q3894">
        <v>17.94</v>
      </c>
      <c r="R3894"/>
      <c r="S3894"/>
      <c r="T3894"/>
      <c r="U3894"/>
      <c r="V3894"/>
      <c r="W3894">
        <v>18</v>
      </c>
    </row>
    <row r="3895" spans="1:23">
      <c r="A3895"/>
      <c r="B3895" t="s">
        <v>91</v>
      </c>
      <c r="C3895" t="s">
        <v>91</v>
      </c>
      <c r="D3895" t="s">
        <v>33</v>
      </c>
      <c r="E3895" t="s">
        <v>34</v>
      </c>
      <c r="F3895" t="str">
        <f>"0004186"</f>
        <v>0004186</v>
      </c>
      <c r="G3895">
        <v>1</v>
      </c>
      <c r="H3895" t="str">
        <f>"00000000"</f>
        <v>00000000</v>
      </c>
      <c r="I3895" t="s">
        <v>35</v>
      </c>
      <c r="J3895"/>
      <c r="K3895">
        <v>15.68</v>
      </c>
      <c r="L3895">
        <v>0.0</v>
      </c>
      <c r="M3895"/>
      <c r="N3895"/>
      <c r="O3895">
        <v>2.82</v>
      </c>
      <c r="P3895">
        <v>0.0</v>
      </c>
      <c r="Q3895">
        <v>18.5</v>
      </c>
      <c r="R3895"/>
      <c r="S3895"/>
      <c r="T3895"/>
      <c r="U3895"/>
      <c r="V3895"/>
      <c r="W3895">
        <v>18</v>
      </c>
    </row>
    <row r="3896" spans="1:23">
      <c r="A3896"/>
      <c r="B3896" t="s">
        <v>91</v>
      </c>
      <c r="C3896" t="s">
        <v>91</v>
      </c>
      <c r="D3896" t="s">
        <v>33</v>
      </c>
      <c r="E3896" t="s">
        <v>34</v>
      </c>
      <c r="F3896" t="str">
        <f>"0004187"</f>
        <v>0004187</v>
      </c>
      <c r="G3896">
        <v>1</v>
      </c>
      <c r="H3896" t="str">
        <f>"00000000"</f>
        <v>00000000</v>
      </c>
      <c r="I3896" t="s">
        <v>35</v>
      </c>
      <c r="J3896"/>
      <c r="K3896">
        <v>8.41</v>
      </c>
      <c r="L3896">
        <v>0.0</v>
      </c>
      <c r="M3896"/>
      <c r="N3896"/>
      <c r="O3896">
        <v>1.51</v>
      </c>
      <c r="P3896">
        <v>0.2</v>
      </c>
      <c r="Q3896">
        <v>10.12</v>
      </c>
      <c r="R3896"/>
      <c r="S3896"/>
      <c r="T3896"/>
      <c r="U3896"/>
      <c r="V3896"/>
      <c r="W3896">
        <v>18</v>
      </c>
    </row>
    <row r="3897" spans="1:23">
      <c r="A3897"/>
      <c r="B3897" t="s">
        <v>91</v>
      </c>
      <c r="C3897" t="s">
        <v>91</v>
      </c>
      <c r="D3897" t="s">
        <v>33</v>
      </c>
      <c r="E3897" t="s">
        <v>34</v>
      </c>
      <c r="F3897" t="str">
        <f>"0004188"</f>
        <v>0004188</v>
      </c>
      <c r="G3897">
        <v>1</v>
      </c>
      <c r="H3897" t="str">
        <f>"00000000"</f>
        <v>00000000</v>
      </c>
      <c r="I3897" t="s">
        <v>35</v>
      </c>
      <c r="J3897"/>
      <c r="K3897">
        <v>70.94</v>
      </c>
      <c r="L3897">
        <v>54.41</v>
      </c>
      <c r="M3897"/>
      <c r="N3897"/>
      <c r="O3897">
        <v>12.77</v>
      </c>
      <c r="P3897">
        <v>0.0</v>
      </c>
      <c r="Q3897">
        <v>138.12</v>
      </c>
      <c r="R3897"/>
      <c r="S3897"/>
      <c r="T3897"/>
      <c r="U3897"/>
      <c r="V3897"/>
      <c r="W3897">
        <v>18</v>
      </c>
    </row>
    <row r="3898" spans="1:23">
      <c r="A3898"/>
      <c r="B3898" t="s">
        <v>91</v>
      </c>
      <c r="C3898" t="s">
        <v>91</v>
      </c>
      <c r="D3898" t="s">
        <v>33</v>
      </c>
      <c r="E3898" t="s">
        <v>34</v>
      </c>
      <c r="F3898" t="str">
        <f>"0004189"</f>
        <v>0004189</v>
      </c>
      <c r="G3898">
        <v>1</v>
      </c>
      <c r="H3898" t="str">
        <f>"00000000"</f>
        <v>00000000</v>
      </c>
      <c r="I3898" t="s">
        <v>35</v>
      </c>
      <c r="J3898"/>
      <c r="K3898">
        <v>8.64</v>
      </c>
      <c r="L3898">
        <v>0.84</v>
      </c>
      <c r="M3898"/>
      <c r="N3898"/>
      <c r="O3898">
        <v>1.56</v>
      </c>
      <c r="P3898">
        <v>0.0</v>
      </c>
      <c r="Q3898">
        <v>11.04</v>
      </c>
      <c r="R3898"/>
      <c r="S3898"/>
      <c r="T3898"/>
      <c r="U3898"/>
      <c r="V3898"/>
      <c r="W3898">
        <v>18</v>
      </c>
    </row>
    <row r="3899" spans="1:23">
      <c r="A3899"/>
      <c r="B3899" t="s">
        <v>91</v>
      </c>
      <c r="C3899" t="s">
        <v>91</v>
      </c>
      <c r="D3899" t="s">
        <v>33</v>
      </c>
      <c r="E3899" t="s">
        <v>34</v>
      </c>
      <c r="F3899" t="str">
        <f>"0004190"</f>
        <v>0004190</v>
      </c>
      <c r="G3899">
        <v>1</v>
      </c>
      <c r="H3899" t="str">
        <f>"00000000"</f>
        <v>00000000</v>
      </c>
      <c r="I3899" t="s">
        <v>35</v>
      </c>
      <c r="J3899"/>
      <c r="K3899">
        <v>70.78</v>
      </c>
      <c r="L3899">
        <v>2.7</v>
      </c>
      <c r="M3899"/>
      <c r="N3899"/>
      <c r="O3899">
        <v>12.74</v>
      </c>
      <c r="P3899">
        <v>0.2</v>
      </c>
      <c r="Q3899">
        <v>86.42</v>
      </c>
      <c r="R3899"/>
      <c r="S3899"/>
      <c r="T3899"/>
      <c r="U3899"/>
      <c r="V3899"/>
      <c r="W3899">
        <v>18</v>
      </c>
    </row>
    <row r="3900" spans="1:23">
      <c r="A3900"/>
      <c r="B3900" t="s">
        <v>91</v>
      </c>
      <c r="C3900" t="s">
        <v>91</v>
      </c>
      <c r="D3900" t="s">
        <v>33</v>
      </c>
      <c r="E3900" t="s">
        <v>34</v>
      </c>
      <c r="F3900" t="str">
        <f>"0004191"</f>
        <v>0004191</v>
      </c>
      <c r="G3900">
        <v>1</v>
      </c>
      <c r="H3900" t="str">
        <f>"00000000"</f>
        <v>00000000</v>
      </c>
      <c r="I3900" t="s">
        <v>35</v>
      </c>
      <c r="J3900"/>
      <c r="K3900">
        <v>5.68</v>
      </c>
      <c r="L3900">
        <v>0.0</v>
      </c>
      <c r="M3900"/>
      <c r="N3900"/>
      <c r="O3900">
        <v>1.02</v>
      </c>
      <c r="P3900">
        <v>0.0</v>
      </c>
      <c r="Q3900">
        <v>6.7</v>
      </c>
      <c r="R3900"/>
      <c r="S3900"/>
      <c r="T3900"/>
      <c r="U3900"/>
      <c r="V3900"/>
      <c r="W3900">
        <v>18</v>
      </c>
    </row>
    <row r="3901" spans="1:23">
      <c r="A3901"/>
      <c r="B3901" t="s">
        <v>91</v>
      </c>
      <c r="C3901" t="s">
        <v>91</v>
      </c>
      <c r="D3901" t="s">
        <v>33</v>
      </c>
      <c r="E3901" t="s">
        <v>34</v>
      </c>
      <c r="F3901" t="str">
        <f>"0004192"</f>
        <v>0004192</v>
      </c>
      <c r="G3901">
        <v>1</v>
      </c>
      <c r="H3901" t="str">
        <f>"00000000"</f>
        <v>00000000</v>
      </c>
      <c r="I3901" t="s">
        <v>35</v>
      </c>
      <c r="J3901"/>
      <c r="K3901">
        <v>2.54</v>
      </c>
      <c r="L3901">
        <v>0.0</v>
      </c>
      <c r="M3901"/>
      <c r="N3901"/>
      <c r="O3901">
        <v>0.46</v>
      </c>
      <c r="P3901">
        <v>0.0</v>
      </c>
      <c r="Q3901">
        <v>3.0</v>
      </c>
      <c r="R3901"/>
      <c r="S3901"/>
      <c r="T3901"/>
      <c r="U3901"/>
      <c r="V3901"/>
      <c r="W3901">
        <v>18</v>
      </c>
    </row>
    <row r="3902" spans="1:23">
      <c r="A3902"/>
      <c r="B3902" t="s">
        <v>91</v>
      </c>
      <c r="C3902" t="s">
        <v>91</v>
      </c>
      <c r="D3902" t="s">
        <v>33</v>
      </c>
      <c r="E3902" t="s">
        <v>34</v>
      </c>
      <c r="F3902" t="str">
        <f>"0004193"</f>
        <v>0004193</v>
      </c>
      <c r="G3902">
        <v>1</v>
      </c>
      <c r="H3902" t="str">
        <f>"00000000"</f>
        <v>00000000</v>
      </c>
      <c r="I3902" t="s">
        <v>35</v>
      </c>
      <c r="J3902"/>
      <c r="K3902">
        <v>5.08</v>
      </c>
      <c r="L3902">
        <v>0.0</v>
      </c>
      <c r="M3902"/>
      <c r="N3902"/>
      <c r="O3902">
        <v>0.92</v>
      </c>
      <c r="P3902">
        <v>0.0</v>
      </c>
      <c r="Q3902">
        <v>6.0</v>
      </c>
      <c r="R3902"/>
      <c r="S3902"/>
      <c r="T3902"/>
      <c r="U3902"/>
      <c r="V3902"/>
      <c r="W3902">
        <v>18</v>
      </c>
    </row>
    <row r="3903" spans="1:23">
      <c r="A3903"/>
      <c r="B3903" t="s">
        <v>91</v>
      </c>
      <c r="C3903" t="s">
        <v>91</v>
      </c>
      <c r="D3903" t="s">
        <v>33</v>
      </c>
      <c r="E3903" t="s">
        <v>34</v>
      </c>
      <c r="F3903" t="str">
        <f>"0004194"</f>
        <v>0004194</v>
      </c>
      <c r="G3903">
        <v>1</v>
      </c>
      <c r="H3903" t="str">
        <f>"00000000"</f>
        <v>00000000</v>
      </c>
      <c r="I3903" t="s">
        <v>35</v>
      </c>
      <c r="J3903"/>
      <c r="K3903">
        <v>26.67</v>
      </c>
      <c r="L3903">
        <v>17.33</v>
      </c>
      <c r="M3903"/>
      <c r="N3903"/>
      <c r="O3903">
        <v>4.8</v>
      </c>
      <c r="P3903">
        <v>0.2</v>
      </c>
      <c r="Q3903">
        <v>49.0</v>
      </c>
      <c r="R3903"/>
      <c r="S3903"/>
      <c r="T3903"/>
      <c r="U3903"/>
      <c r="V3903"/>
      <c r="W3903">
        <v>18</v>
      </c>
    </row>
    <row r="3904" spans="1:23">
      <c r="A3904"/>
      <c r="B3904" t="s">
        <v>91</v>
      </c>
      <c r="C3904" t="s">
        <v>91</v>
      </c>
      <c r="D3904" t="s">
        <v>33</v>
      </c>
      <c r="E3904" t="s">
        <v>34</v>
      </c>
      <c r="F3904" t="str">
        <f>"0004195"</f>
        <v>0004195</v>
      </c>
      <c r="G3904">
        <v>1</v>
      </c>
      <c r="H3904" t="str">
        <f>"00000000"</f>
        <v>00000000</v>
      </c>
      <c r="I3904" t="s">
        <v>35</v>
      </c>
      <c r="J3904"/>
      <c r="K3904">
        <v>27.98</v>
      </c>
      <c r="L3904">
        <v>0.0</v>
      </c>
      <c r="M3904"/>
      <c r="N3904"/>
      <c r="O3904">
        <v>5.04</v>
      </c>
      <c r="P3904">
        <v>0.2</v>
      </c>
      <c r="Q3904">
        <v>33.22</v>
      </c>
      <c r="R3904"/>
      <c r="S3904"/>
      <c r="T3904"/>
      <c r="U3904"/>
      <c r="V3904"/>
      <c r="W3904">
        <v>18</v>
      </c>
    </row>
    <row r="3905" spans="1:23">
      <c r="A3905"/>
      <c r="B3905" t="s">
        <v>91</v>
      </c>
      <c r="C3905" t="s">
        <v>91</v>
      </c>
      <c r="D3905" t="s">
        <v>33</v>
      </c>
      <c r="E3905" t="s">
        <v>34</v>
      </c>
      <c r="F3905" t="str">
        <f>"0004196"</f>
        <v>0004196</v>
      </c>
      <c r="G3905">
        <v>1</v>
      </c>
      <c r="H3905" t="str">
        <f>"00000000"</f>
        <v>00000000</v>
      </c>
      <c r="I3905" t="s">
        <v>35</v>
      </c>
      <c r="J3905"/>
      <c r="K3905">
        <v>1.69</v>
      </c>
      <c r="L3905">
        <v>0.0</v>
      </c>
      <c r="M3905"/>
      <c r="N3905"/>
      <c r="O3905">
        <v>0.31</v>
      </c>
      <c r="P3905">
        <v>0.0</v>
      </c>
      <c r="Q3905">
        <v>2.0</v>
      </c>
      <c r="R3905"/>
      <c r="S3905"/>
      <c r="T3905"/>
      <c r="U3905"/>
      <c r="V3905"/>
      <c r="W3905">
        <v>18</v>
      </c>
    </row>
    <row r="3906" spans="1:23">
      <c r="A3906"/>
      <c r="B3906" t="s">
        <v>91</v>
      </c>
      <c r="C3906" t="s">
        <v>91</v>
      </c>
      <c r="D3906" t="s">
        <v>33</v>
      </c>
      <c r="E3906" t="s">
        <v>34</v>
      </c>
      <c r="F3906" t="str">
        <f>"0004197"</f>
        <v>0004197</v>
      </c>
      <c r="G3906">
        <v>1</v>
      </c>
      <c r="H3906" t="str">
        <f>"00000000"</f>
        <v>00000000</v>
      </c>
      <c r="I3906" t="s">
        <v>35</v>
      </c>
      <c r="J3906"/>
      <c r="K3906">
        <v>3.05</v>
      </c>
      <c r="L3906">
        <v>0.0</v>
      </c>
      <c r="M3906"/>
      <c r="N3906"/>
      <c r="O3906">
        <v>0.55</v>
      </c>
      <c r="P3906">
        <v>0.0</v>
      </c>
      <c r="Q3906">
        <v>3.6</v>
      </c>
      <c r="R3906"/>
      <c r="S3906"/>
      <c r="T3906"/>
      <c r="U3906"/>
      <c r="V3906"/>
      <c r="W3906">
        <v>18</v>
      </c>
    </row>
    <row r="3907" spans="1:23">
      <c r="A3907"/>
      <c r="B3907" t="s">
        <v>91</v>
      </c>
      <c r="C3907" t="s">
        <v>91</v>
      </c>
      <c r="D3907" t="s">
        <v>33</v>
      </c>
      <c r="E3907" t="s">
        <v>34</v>
      </c>
      <c r="F3907" t="str">
        <f>"0004198"</f>
        <v>0004198</v>
      </c>
      <c r="G3907">
        <v>1</v>
      </c>
      <c r="H3907" t="str">
        <f>"00000000"</f>
        <v>00000000</v>
      </c>
      <c r="I3907" t="s">
        <v>35</v>
      </c>
      <c r="J3907"/>
      <c r="K3907">
        <v>11.8</v>
      </c>
      <c r="L3907">
        <v>0.0</v>
      </c>
      <c r="M3907"/>
      <c r="N3907"/>
      <c r="O3907">
        <v>2.12</v>
      </c>
      <c r="P3907">
        <v>0.2</v>
      </c>
      <c r="Q3907">
        <v>14.12</v>
      </c>
      <c r="R3907"/>
      <c r="S3907"/>
      <c r="T3907"/>
      <c r="U3907"/>
      <c r="V3907"/>
      <c r="W3907">
        <v>18</v>
      </c>
    </row>
    <row r="3908" spans="1:23">
      <c r="A3908"/>
      <c r="B3908" t="s">
        <v>91</v>
      </c>
      <c r="C3908" t="s">
        <v>91</v>
      </c>
      <c r="D3908" t="s">
        <v>33</v>
      </c>
      <c r="E3908" t="s">
        <v>34</v>
      </c>
      <c r="F3908" t="str">
        <f>"0004199"</f>
        <v>0004199</v>
      </c>
      <c r="G3908">
        <v>1</v>
      </c>
      <c r="H3908" t="str">
        <f>"00000000"</f>
        <v>00000000</v>
      </c>
      <c r="I3908" t="s">
        <v>35</v>
      </c>
      <c r="J3908"/>
      <c r="K3908">
        <v>5.08</v>
      </c>
      <c r="L3908">
        <v>0.0</v>
      </c>
      <c r="M3908"/>
      <c r="N3908"/>
      <c r="O3908">
        <v>0.92</v>
      </c>
      <c r="P3908">
        <v>0.0</v>
      </c>
      <c r="Q3908">
        <v>6.0</v>
      </c>
      <c r="R3908"/>
      <c r="S3908"/>
      <c r="T3908"/>
      <c r="U3908"/>
      <c r="V3908"/>
      <c r="W3908">
        <v>18</v>
      </c>
    </row>
    <row r="3909" spans="1:23">
      <c r="A3909"/>
      <c r="B3909" t="s">
        <v>91</v>
      </c>
      <c r="C3909" t="s">
        <v>91</v>
      </c>
      <c r="D3909" t="s">
        <v>33</v>
      </c>
      <c r="E3909" t="s">
        <v>34</v>
      </c>
      <c r="F3909" t="str">
        <f>"0004200"</f>
        <v>0004200</v>
      </c>
      <c r="G3909">
        <v>1</v>
      </c>
      <c r="H3909" t="str">
        <f>"00000000"</f>
        <v>00000000</v>
      </c>
      <c r="I3909" t="s">
        <v>35</v>
      </c>
      <c r="J3909"/>
      <c r="K3909">
        <v>8.47</v>
      </c>
      <c r="L3909">
        <v>0.0</v>
      </c>
      <c r="M3909"/>
      <c r="N3909"/>
      <c r="O3909">
        <v>1.53</v>
      </c>
      <c r="P3909">
        <v>0.0</v>
      </c>
      <c r="Q3909">
        <v>10.0</v>
      </c>
      <c r="R3909"/>
      <c r="S3909"/>
      <c r="T3909"/>
      <c r="U3909"/>
      <c r="V3909"/>
      <c r="W3909">
        <v>18</v>
      </c>
    </row>
    <row r="3910" spans="1:23">
      <c r="A3910"/>
      <c r="B3910" t="s">
        <v>91</v>
      </c>
      <c r="C3910" t="s">
        <v>91</v>
      </c>
      <c r="D3910" t="s">
        <v>33</v>
      </c>
      <c r="E3910" t="s">
        <v>34</v>
      </c>
      <c r="F3910" t="str">
        <f>"0004201"</f>
        <v>0004201</v>
      </c>
      <c r="G3910">
        <v>1</v>
      </c>
      <c r="H3910" t="str">
        <f>"00000000"</f>
        <v>00000000</v>
      </c>
      <c r="I3910" t="s">
        <v>35</v>
      </c>
      <c r="J3910"/>
      <c r="K3910">
        <v>2.54</v>
      </c>
      <c r="L3910">
        <v>0.0</v>
      </c>
      <c r="M3910"/>
      <c r="N3910"/>
      <c r="O3910">
        <v>0.46</v>
      </c>
      <c r="P3910">
        <v>0.0</v>
      </c>
      <c r="Q3910">
        <v>3.0</v>
      </c>
      <c r="R3910"/>
      <c r="S3910"/>
      <c r="T3910"/>
      <c r="U3910"/>
      <c r="V3910"/>
      <c r="W3910">
        <v>18</v>
      </c>
    </row>
    <row r="3911" spans="1:23">
      <c r="A3911"/>
      <c r="B3911" t="s">
        <v>91</v>
      </c>
      <c r="C3911" t="s">
        <v>91</v>
      </c>
      <c r="D3911" t="s">
        <v>33</v>
      </c>
      <c r="E3911" t="s">
        <v>34</v>
      </c>
      <c r="F3911" t="str">
        <f>"0004202"</f>
        <v>0004202</v>
      </c>
      <c r="G3911">
        <v>1</v>
      </c>
      <c r="H3911" t="str">
        <f>"00000000"</f>
        <v>00000000</v>
      </c>
      <c r="I3911" t="s">
        <v>35</v>
      </c>
      <c r="J3911"/>
      <c r="K3911">
        <v>12.77</v>
      </c>
      <c r="L3911">
        <v>0.0</v>
      </c>
      <c r="M3911"/>
      <c r="N3911"/>
      <c r="O3911">
        <v>2.3</v>
      </c>
      <c r="P3911">
        <v>0.0</v>
      </c>
      <c r="Q3911">
        <v>15.07</v>
      </c>
      <c r="R3911"/>
      <c r="S3911"/>
      <c r="T3911"/>
      <c r="U3911"/>
      <c r="V3911"/>
      <c r="W3911">
        <v>18</v>
      </c>
    </row>
    <row r="3912" spans="1:23">
      <c r="A3912"/>
      <c r="B3912" t="s">
        <v>91</v>
      </c>
      <c r="C3912" t="s">
        <v>91</v>
      </c>
      <c r="D3912" t="s">
        <v>33</v>
      </c>
      <c r="E3912" t="s">
        <v>34</v>
      </c>
      <c r="F3912" t="str">
        <f>"0004203"</f>
        <v>0004203</v>
      </c>
      <c r="G3912">
        <v>1</v>
      </c>
      <c r="H3912" t="str">
        <f>"00000000"</f>
        <v>00000000</v>
      </c>
      <c r="I3912" t="s">
        <v>35</v>
      </c>
      <c r="J3912"/>
      <c r="K3912">
        <v>3.81</v>
      </c>
      <c r="L3912">
        <v>0.0</v>
      </c>
      <c r="M3912"/>
      <c r="N3912"/>
      <c r="O3912">
        <v>0.69</v>
      </c>
      <c r="P3912">
        <v>0.0</v>
      </c>
      <c r="Q3912">
        <v>4.5</v>
      </c>
      <c r="R3912"/>
      <c r="S3912"/>
      <c r="T3912"/>
      <c r="U3912"/>
      <c r="V3912"/>
      <c r="W3912">
        <v>18</v>
      </c>
    </row>
    <row r="3913" spans="1:23">
      <c r="A3913"/>
      <c r="B3913" t="s">
        <v>91</v>
      </c>
      <c r="C3913" t="s">
        <v>91</v>
      </c>
      <c r="D3913" t="s">
        <v>33</v>
      </c>
      <c r="E3913" t="s">
        <v>34</v>
      </c>
      <c r="F3913" t="str">
        <f>"0004204"</f>
        <v>0004204</v>
      </c>
      <c r="G3913">
        <v>1</v>
      </c>
      <c r="H3913" t="str">
        <f>"00000000"</f>
        <v>00000000</v>
      </c>
      <c r="I3913" t="s">
        <v>35</v>
      </c>
      <c r="J3913"/>
      <c r="K3913">
        <v>1.27</v>
      </c>
      <c r="L3913">
        <v>0.0</v>
      </c>
      <c r="M3913"/>
      <c r="N3913"/>
      <c r="O3913">
        <v>0.23</v>
      </c>
      <c r="P3913">
        <v>0.0</v>
      </c>
      <c r="Q3913">
        <v>1.5</v>
      </c>
      <c r="R3913"/>
      <c r="S3913"/>
      <c r="T3913"/>
      <c r="U3913"/>
      <c r="V3913"/>
      <c r="W3913">
        <v>18</v>
      </c>
    </row>
    <row r="3914" spans="1:23">
      <c r="A3914"/>
      <c r="B3914" t="s">
        <v>91</v>
      </c>
      <c r="C3914" t="s">
        <v>91</v>
      </c>
      <c r="D3914" t="s">
        <v>33</v>
      </c>
      <c r="E3914" t="s">
        <v>34</v>
      </c>
      <c r="F3914" t="str">
        <f>"0004205"</f>
        <v>0004205</v>
      </c>
      <c r="G3914">
        <v>1</v>
      </c>
      <c r="H3914" t="str">
        <f>"00000000"</f>
        <v>00000000</v>
      </c>
      <c r="I3914" t="s">
        <v>35</v>
      </c>
      <c r="J3914"/>
      <c r="K3914">
        <v>3.6</v>
      </c>
      <c r="L3914">
        <v>0.81</v>
      </c>
      <c r="M3914"/>
      <c r="N3914"/>
      <c r="O3914">
        <v>0.65</v>
      </c>
      <c r="P3914">
        <v>0.0</v>
      </c>
      <c r="Q3914">
        <v>5.06</v>
      </c>
      <c r="R3914"/>
      <c r="S3914"/>
      <c r="T3914"/>
      <c r="U3914"/>
      <c r="V3914"/>
      <c r="W3914">
        <v>18</v>
      </c>
    </row>
    <row r="3915" spans="1:23">
      <c r="A3915"/>
      <c r="B3915" t="s">
        <v>91</v>
      </c>
      <c r="C3915" t="s">
        <v>91</v>
      </c>
      <c r="D3915" t="s">
        <v>33</v>
      </c>
      <c r="E3915" t="s">
        <v>34</v>
      </c>
      <c r="F3915" t="str">
        <f>"0004206"</f>
        <v>0004206</v>
      </c>
      <c r="G3915">
        <v>1</v>
      </c>
      <c r="H3915" t="str">
        <f>"00000000"</f>
        <v>00000000</v>
      </c>
      <c r="I3915" t="s">
        <v>35</v>
      </c>
      <c r="J3915"/>
      <c r="K3915">
        <v>25.68</v>
      </c>
      <c r="L3915">
        <v>0.0</v>
      </c>
      <c r="M3915"/>
      <c r="N3915"/>
      <c r="O3915">
        <v>4.62</v>
      </c>
      <c r="P3915">
        <v>0.0</v>
      </c>
      <c r="Q3915">
        <v>30.3</v>
      </c>
      <c r="R3915"/>
      <c r="S3915"/>
      <c r="T3915"/>
      <c r="U3915"/>
      <c r="V3915"/>
      <c r="W3915">
        <v>18</v>
      </c>
    </row>
    <row r="3916" spans="1:23">
      <c r="A3916"/>
      <c r="B3916" t="s">
        <v>91</v>
      </c>
      <c r="C3916" t="s">
        <v>91</v>
      </c>
      <c r="D3916" t="s">
        <v>33</v>
      </c>
      <c r="E3916" t="s">
        <v>34</v>
      </c>
      <c r="F3916" t="str">
        <f>"0004207"</f>
        <v>0004207</v>
      </c>
      <c r="G3916">
        <v>1</v>
      </c>
      <c r="H3916" t="str">
        <f>"00000000"</f>
        <v>00000000</v>
      </c>
      <c r="I3916" t="s">
        <v>35</v>
      </c>
      <c r="J3916"/>
      <c r="K3916">
        <v>0.0</v>
      </c>
      <c r="L3916">
        <v>5.0</v>
      </c>
      <c r="M3916"/>
      <c r="N3916"/>
      <c r="O3916">
        <v>0.0</v>
      </c>
      <c r="P3916">
        <v>0.0</v>
      </c>
      <c r="Q3916">
        <v>5.0</v>
      </c>
      <c r="R3916"/>
      <c r="S3916"/>
      <c r="T3916"/>
      <c r="U3916"/>
      <c r="V3916"/>
      <c r="W3916">
        <v>18</v>
      </c>
    </row>
    <row r="3917" spans="1:23">
      <c r="A3917"/>
      <c r="B3917" t="s">
        <v>91</v>
      </c>
      <c r="C3917" t="s">
        <v>91</v>
      </c>
      <c r="D3917" t="s">
        <v>33</v>
      </c>
      <c r="E3917" t="s">
        <v>34</v>
      </c>
      <c r="F3917" t="str">
        <f>"0004208"</f>
        <v>0004208</v>
      </c>
      <c r="G3917">
        <v>1</v>
      </c>
      <c r="H3917" t="str">
        <f>"00000000"</f>
        <v>00000000</v>
      </c>
      <c r="I3917" t="s">
        <v>35</v>
      </c>
      <c r="J3917"/>
      <c r="K3917">
        <v>0.0</v>
      </c>
      <c r="L3917">
        <v>2.75</v>
      </c>
      <c r="M3917"/>
      <c r="N3917"/>
      <c r="O3917">
        <v>0.0</v>
      </c>
      <c r="P3917">
        <v>0.0</v>
      </c>
      <c r="Q3917">
        <v>2.75</v>
      </c>
      <c r="R3917"/>
      <c r="S3917"/>
      <c r="T3917"/>
      <c r="U3917"/>
      <c r="V3917"/>
      <c r="W3917">
        <v>18</v>
      </c>
    </row>
    <row r="3918" spans="1:23">
      <c r="A3918"/>
      <c r="B3918" t="s">
        <v>91</v>
      </c>
      <c r="C3918" t="s">
        <v>91</v>
      </c>
      <c r="D3918" t="s">
        <v>33</v>
      </c>
      <c r="E3918" t="s">
        <v>34</v>
      </c>
      <c r="F3918" t="str">
        <f>"0004209"</f>
        <v>0004209</v>
      </c>
      <c r="G3918">
        <v>1</v>
      </c>
      <c r="H3918" t="str">
        <f>"00000000"</f>
        <v>00000000</v>
      </c>
      <c r="I3918" t="s">
        <v>35</v>
      </c>
      <c r="J3918"/>
      <c r="K3918">
        <v>0.02</v>
      </c>
      <c r="L3918">
        <v>18.09</v>
      </c>
      <c r="M3918"/>
      <c r="N3918"/>
      <c r="O3918">
        <v>0.0</v>
      </c>
      <c r="P3918">
        <v>0.2</v>
      </c>
      <c r="Q3918">
        <v>18.31</v>
      </c>
      <c r="R3918"/>
      <c r="S3918"/>
      <c r="T3918"/>
      <c r="U3918"/>
      <c r="V3918"/>
      <c r="W3918">
        <v>18</v>
      </c>
    </row>
    <row r="3919" spans="1:23">
      <c r="A3919"/>
      <c r="B3919" t="s">
        <v>91</v>
      </c>
      <c r="C3919" t="s">
        <v>91</v>
      </c>
      <c r="D3919" t="s">
        <v>33</v>
      </c>
      <c r="E3919" t="s">
        <v>34</v>
      </c>
      <c r="F3919" t="str">
        <f>"0004210"</f>
        <v>0004210</v>
      </c>
      <c r="G3919">
        <v>1</v>
      </c>
      <c r="H3919" t="str">
        <f>"00000000"</f>
        <v>00000000</v>
      </c>
      <c r="I3919" t="s">
        <v>35</v>
      </c>
      <c r="J3919"/>
      <c r="K3919">
        <v>6.86</v>
      </c>
      <c r="L3919">
        <v>0.0</v>
      </c>
      <c r="M3919"/>
      <c r="N3919"/>
      <c r="O3919">
        <v>1.24</v>
      </c>
      <c r="P3919">
        <v>0.0</v>
      </c>
      <c r="Q3919">
        <v>8.1</v>
      </c>
      <c r="R3919"/>
      <c r="S3919"/>
      <c r="T3919"/>
      <c r="U3919"/>
      <c r="V3919"/>
      <c r="W3919">
        <v>18</v>
      </c>
    </row>
    <row r="3920" spans="1:23">
      <c r="A3920"/>
      <c r="B3920" t="s">
        <v>91</v>
      </c>
      <c r="C3920" t="s">
        <v>91</v>
      </c>
      <c r="D3920" t="s">
        <v>33</v>
      </c>
      <c r="E3920" t="s">
        <v>34</v>
      </c>
      <c r="F3920" t="str">
        <f>"0004211"</f>
        <v>0004211</v>
      </c>
      <c r="G3920">
        <v>1</v>
      </c>
      <c r="H3920" t="str">
        <f>"00000000"</f>
        <v>00000000</v>
      </c>
      <c r="I3920" t="s">
        <v>35</v>
      </c>
      <c r="J3920"/>
      <c r="K3920">
        <v>0.02</v>
      </c>
      <c r="L3920">
        <v>0.0</v>
      </c>
      <c r="M3920"/>
      <c r="N3920"/>
      <c r="O3920">
        <v>0.0</v>
      </c>
      <c r="P3920">
        <v>0.2</v>
      </c>
      <c r="Q3920">
        <v>0.22</v>
      </c>
      <c r="R3920"/>
      <c r="S3920"/>
      <c r="T3920"/>
      <c r="U3920"/>
      <c r="V3920"/>
      <c r="W3920">
        <v>18</v>
      </c>
    </row>
    <row r="3921" spans="1:23">
      <c r="A3921"/>
      <c r="B3921" t="s">
        <v>91</v>
      </c>
      <c r="C3921" t="s">
        <v>91</v>
      </c>
      <c r="D3921" t="s">
        <v>33</v>
      </c>
      <c r="E3921" t="s">
        <v>34</v>
      </c>
      <c r="F3921" t="str">
        <f>"0004212"</f>
        <v>0004212</v>
      </c>
      <c r="G3921">
        <v>1</v>
      </c>
      <c r="H3921" t="str">
        <f>"00000000"</f>
        <v>00000000</v>
      </c>
      <c r="I3921" t="s">
        <v>35</v>
      </c>
      <c r="J3921"/>
      <c r="K3921">
        <v>10.31</v>
      </c>
      <c r="L3921">
        <v>0.0</v>
      </c>
      <c r="M3921"/>
      <c r="N3921"/>
      <c r="O3921">
        <v>1.86</v>
      </c>
      <c r="P3921">
        <v>0.2</v>
      </c>
      <c r="Q3921">
        <v>12.37</v>
      </c>
      <c r="R3921"/>
      <c r="S3921"/>
      <c r="T3921"/>
      <c r="U3921"/>
      <c r="V3921"/>
      <c r="W3921">
        <v>18</v>
      </c>
    </row>
    <row r="3922" spans="1:23">
      <c r="A3922"/>
      <c r="B3922" t="s">
        <v>91</v>
      </c>
      <c r="C3922" t="s">
        <v>91</v>
      </c>
      <c r="D3922" t="s">
        <v>33</v>
      </c>
      <c r="E3922" t="s">
        <v>34</v>
      </c>
      <c r="F3922" t="str">
        <f>"0004213"</f>
        <v>0004213</v>
      </c>
      <c r="G3922">
        <v>1</v>
      </c>
      <c r="H3922" t="str">
        <f>"00000000"</f>
        <v>00000000</v>
      </c>
      <c r="I3922" t="s">
        <v>35</v>
      </c>
      <c r="J3922"/>
      <c r="K3922">
        <v>0.0</v>
      </c>
      <c r="L3922">
        <v>2.91</v>
      </c>
      <c r="M3922"/>
      <c r="N3922"/>
      <c r="O3922">
        <v>0.0</v>
      </c>
      <c r="P3922">
        <v>0.0</v>
      </c>
      <c r="Q3922">
        <v>2.91</v>
      </c>
      <c r="R3922"/>
      <c r="S3922"/>
      <c r="T3922"/>
      <c r="U3922"/>
      <c r="V3922"/>
      <c r="W3922">
        <v>18</v>
      </c>
    </row>
    <row r="3923" spans="1:23">
      <c r="A3923"/>
      <c r="B3923" t="s">
        <v>91</v>
      </c>
      <c r="C3923" t="s">
        <v>91</v>
      </c>
      <c r="D3923" t="s">
        <v>33</v>
      </c>
      <c r="E3923" t="s">
        <v>34</v>
      </c>
      <c r="F3923" t="str">
        <f>"0004214"</f>
        <v>0004214</v>
      </c>
      <c r="G3923">
        <v>1</v>
      </c>
      <c r="H3923" t="str">
        <f>"00000000"</f>
        <v>00000000</v>
      </c>
      <c r="I3923" t="s">
        <v>35</v>
      </c>
      <c r="J3923"/>
      <c r="K3923">
        <v>14.83</v>
      </c>
      <c r="L3923">
        <v>0.0</v>
      </c>
      <c r="M3923"/>
      <c r="N3923"/>
      <c r="O3923">
        <v>2.67</v>
      </c>
      <c r="P3923">
        <v>0.0</v>
      </c>
      <c r="Q3923">
        <v>17.5</v>
      </c>
      <c r="R3923"/>
      <c r="S3923"/>
      <c r="T3923"/>
      <c r="U3923"/>
      <c r="V3923"/>
      <c r="W3923">
        <v>18</v>
      </c>
    </row>
    <row r="3924" spans="1:23">
      <c r="A3924"/>
      <c r="B3924" t="s">
        <v>91</v>
      </c>
      <c r="C3924" t="s">
        <v>91</v>
      </c>
      <c r="D3924" t="s">
        <v>33</v>
      </c>
      <c r="E3924" t="s">
        <v>34</v>
      </c>
      <c r="F3924" t="str">
        <f>"0004215"</f>
        <v>0004215</v>
      </c>
      <c r="G3924">
        <v>1</v>
      </c>
      <c r="H3924" t="str">
        <f>"00000000"</f>
        <v>00000000</v>
      </c>
      <c r="I3924" t="s">
        <v>35</v>
      </c>
      <c r="J3924"/>
      <c r="K3924">
        <v>5.23</v>
      </c>
      <c r="L3924">
        <v>0.0</v>
      </c>
      <c r="M3924"/>
      <c r="N3924"/>
      <c r="O3924">
        <v>0.94</v>
      </c>
      <c r="P3924">
        <v>0.2</v>
      </c>
      <c r="Q3924">
        <v>6.37</v>
      </c>
      <c r="R3924"/>
      <c r="S3924"/>
      <c r="T3924"/>
      <c r="U3924"/>
      <c r="V3924"/>
      <c r="W3924">
        <v>18</v>
      </c>
    </row>
    <row r="3925" spans="1:23">
      <c r="A3925"/>
      <c r="B3925" t="s">
        <v>91</v>
      </c>
      <c r="C3925" t="s">
        <v>91</v>
      </c>
      <c r="D3925" t="s">
        <v>33</v>
      </c>
      <c r="E3925" t="s">
        <v>34</v>
      </c>
      <c r="F3925" t="str">
        <f>"0004216"</f>
        <v>0004216</v>
      </c>
      <c r="G3925">
        <v>1</v>
      </c>
      <c r="H3925" t="str">
        <f>"00000000"</f>
        <v>00000000</v>
      </c>
      <c r="I3925" t="s">
        <v>35</v>
      </c>
      <c r="J3925"/>
      <c r="K3925">
        <v>0.0</v>
      </c>
      <c r="L3925">
        <v>1.87</v>
      </c>
      <c r="M3925"/>
      <c r="N3925"/>
      <c r="O3925">
        <v>0.0</v>
      </c>
      <c r="P3925">
        <v>0.0</v>
      </c>
      <c r="Q3925">
        <v>1.87</v>
      </c>
      <c r="R3925"/>
      <c r="S3925"/>
      <c r="T3925"/>
      <c r="U3925"/>
      <c r="V3925"/>
      <c r="W3925">
        <v>18</v>
      </c>
    </row>
    <row r="3926" spans="1:23">
      <c r="A3926"/>
      <c r="B3926" t="s">
        <v>91</v>
      </c>
      <c r="C3926" t="s">
        <v>91</v>
      </c>
      <c r="D3926" t="s">
        <v>33</v>
      </c>
      <c r="E3926" t="s">
        <v>34</v>
      </c>
      <c r="F3926" t="str">
        <f>"0004217"</f>
        <v>0004217</v>
      </c>
      <c r="G3926">
        <v>1</v>
      </c>
      <c r="H3926" t="str">
        <f>"00000000"</f>
        <v>00000000</v>
      </c>
      <c r="I3926" t="s">
        <v>35</v>
      </c>
      <c r="J3926"/>
      <c r="K3926">
        <v>30.08</v>
      </c>
      <c r="L3926">
        <v>0.0</v>
      </c>
      <c r="M3926"/>
      <c r="N3926"/>
      <c r="O3926">
        <v>5.42</v>
      </c>
      <c r="P3926">
        <v>0.0</v>
      </c>
      <c r="Q3926">
        <v>35.5</v>
      </c>
      <c r="R3926"/>
      <c r="S3926"/>
      <c r="T3926"/>
      <c r="U3926"/>
      <c r="V3926"/>
      <c r="W3926">
        <v>18</v>
      </c>
    </row>
    <row r="3927" spans="1:23">
      <c r="A3927"/>
      <c r="B3927" t="s">
        <v>91</v>
      </c>
      <c r="C3927" t="s">
        <v>91</v>
      </c>
      <c r="D3927" t="s">
        <v>33</v>
      </c>
      <c r="E3927" t="s">
        <v>34</v>
      </c>
      <c r="F3927" t="str">
        <f>"0004218"</f>
        <v>0004218</v>
      </c>
      <c r="G3927">
        <v>1</v>
      </c>
      <c r="H3927" t="str">
        <f>"00000000"</f>
        <v>00000000</v>
      </c>
      <c r="I3927" t="s">
        <v>35</v>
      </c>
      <c r="J3927"/>
      <c r="K3927">
        <v>19.13</v>
      </c>
      <c r="L3927">
        <v>0.0</v>
      </c>
      <c r="M3927"/>
      <c r="N3927"/>
      <c r="O3927">
        <v>3.44</v>
      </c>
      <c r="P3927">
        <v>0.2</v>
      </c>
      <c r="Q3927">
        <v>22.77</v>
      </c>
      <c r="R3927"/>
      <c r="S3927"/>
      <c r="T3927"/>
      <c r="U3927"/>
      <c r="V3927"/>
      <c r="W3927">
        <v>18</v>
      </c>
    </row>
    <row r="3928" spans="1:23">
      <c r="A3928"/>
      <c r="B3928" t="s">
        <v>91</v>
      </c>
      <c r="C3928" t="s">
        <v>91</v>
      </c>
      <c r="D3928" t="s">
        <v>33</v>
      </c>
      <c r="E3928" t="s">
        <v>34</v>
      </c>
      <c r="F3928" t="str">
        <f>"0004219"</f>
        <v>0004219</v>
      </c>
      <c r="G3928">
        <v>1</v>
      </c>
      <c r="H3928" t="str">
        <f>"00000000"</f>
        <v>00000000</v>
      </c>
      <c r="I3928" t="s">
        <v>35</v>
      </c>
      <c r="J3928"/>
      <c r="K3928">
        <v>15.88</v>
      </c>
      <c r="L3928">
        <v>25.78</v>
      </c>
      <c r="M3928"/>
      <c r="N3928"/>
      <c r="O3928">
        <v>2.86</v>
      </c>
      <c r="P3928">
        <v>0.4</v>
      </c>
      <c r="Q3928">
        <v>44.92</v>
      </c>
      <c r="R3928"/>
      <c r="S3928"/>
      <c r="T3928"/>
      <c r="U3928"/>
      <c r="V3928"/>
      <c r="W3928">
        <v>18</v>
      </c>
    </row>
    <row r="3929" spans="1:23">
      <c r="A3929"/>
      <c r="B3929" t="s">
        <v>91</v>
      </c>
      <c r="C3929" t="s">
        <v>91</v>
      </c>
      <c r="D3929" t="s">
        <v>33</v>
      </c>
      <c r="E3929" t="s">
        <v>34</v>
      </c>
      <c r="F3929" t="str">
        <f>"0004220"</f>
        <v>0004220</v>
      </c>
      <c r="G3929">
        <v>1</v>
      </c>
      <c r="H3929" t="str">
        <f>"00000000"</f>
        <v>00000000</v>
      </c>
      <c r="I3929" t="s">
        <v>35</v>
      </c>
      <c r="J3929"/>
      <c r="K3929">
        <v>1.86</v>
      </c>
      <c r="L3929">
        <v>0.0</v>
      </c>
      <c r="M3929"/>
      <c r="N3929"/>
      <c r="O3929">
        <v>0.34</v>
      </c>
      <c r="P3929">
        <v>0.0</v>
      </c>
      <c r="Q3929">
        <v>2.2</v>
      </c>
      <c r="R3929"/>
      <c r="S3929"/>
      <c r="T3929"/>
      <c r="U3929"/>
      <c r="V3929"/>
      <c r="W3929">
        <v>18</v>
      </c>
    </row>
    <row r="3930" spans="1:23">
      <c r="A3930"/>
      <c r="B3930" t="s">
        <v>91</v>
      </c>
      <c r="C3930" t="s">
        <v>91</v>
      </c>
      <c r="D3930" t="s">
        <v>33</v>
      </c>
      <c r="E3930" t="s">
        <v>34</v>
      </c>
      <c r="F3930" t="str">
        <f>"0004221"</f>
        <v>0004221</v>
      </c>
      <c r="G3930">
        <v>1</v>
      </c>
      <c r="H3930" t="str">
        <f>"00000000"</f>
        <v>00000000</v>
      </c>
      <c r="I3930" t="s">
        <v>35</v>
      </c>
      <c r="J3930"/>
      <c r="K3930">
        <v>7.8</v>
      </c>
      <c r="L3930">
        <v>0.0</v>
      </c>
      <c r="M3930"/>
      <c r="N3930"/>
      <c r="O3930">
        <v>1.4</v>
      </c>
      <c r="P3930">
        <v>0.0</v>
      </c>
      <c r="Q3930">
        <v>9.2</v>
      </c>
      <c r="R3930"/>
      <c r="S3930"/>
      <c r="T3930"/>
      <c r="U3930"/>
      <c r="V3930"/>
      <c r="W3930">
        <v>18</v>
      </c>
    </row>
    <row r="3931" spans="1:23">
      <c r="A3931"/>
      <c r="B3931" t="s">
        <v>91</v>
      </c>
      <c r="C3931" t="s">
        <v>91</v>
      </c>
      <c r="D3931" t="s">
        <v>33</v>
      </c>
      <c r="E3931" t="s">
        <v>34</v>
      </c>
      <c r="F3931" t="str">
        <f>"0004222"</f>
        <v>0004222</v>
      </c>
      <c r="G3931">
        <v>1</v>
      </c>
      <c r="H3931" t="str">
        <f>"00000000"</f>
        <v>00000000</v>
      </c>
      <c r="I3931" t="s">
        <v>35</v>
      </c>
      <c r="J3931"/>
      <c r="K3931">
        <v>13.56</v>
      </c>
      <c r="L3931">
        <v>0.0</v>
      </c>
      <c r="M3931"/>
      <c r="N3931"/>
      <c r="O3931">
        <v>2.44</v>
      </c>
      <c r="P3931">
        <v>0.0</v>
      </c>
      <c r="Q3931">
        <v>16.0</v>
      </c>
      <c r="R3931"/>
      <c r="S3931"/>
      <c r="T3931"/>
      <c r="U3931"/>
      <c r="V3931"/>
      <c r="W3931">
        <v>18</v>
      </c>
    </row>
    <row r="3932" spans="1:23">
      <c r="A3932"/>
      <c r="B3932" t="s">
        <v>91</v>
      </c>
      <c r="C3932" t="s">
        <v>91</v>
      </c>
      <c r="D3932" t="s">
        <v>33</v>
      </c>
      <c r="E3932" t="s">
        <v>34</v>
      </c>
      <c r="F3932" t="str">
        <f>"0004223"</f>
        <v>0004223</v>
      </c>
      <c r="G3932">
        <v>1</v>
      </c>
      <c r="H3932" t="str">
        <f>"00000000"</f>
        <v>00000000</v>
      </c>
      <c r="I3932" t="s">
        <v>35</v>
      </c>
      <c r="J3932"/>
      <c r="K3932">
        <v>11.8</v>
      </c>
      <c r="L3932">
        <v>0.0</v>
      </c>
      <c r="M3932"/>
      <c r="N3932"/>
      <c r="O3932">
        <v>2.12</v>
      </c>
      <c r="P3932">
        <v>0.2</v>
      </c>
      <c r="Q3932">
        <v>14.12</v>
      </c>
      <c r="R3932"/>
      <c r="S3932"/>
      <c r="T3932"/>
      <c r="U3932"/>
      <c r="V3932"/>
      <c r="W3932">
        <v>18</v>
      </c>
    </row>
    <row r="3933" spans="1:23">
      <c r="A3933"/>
      <c r="B3933" t="s">
        <v>91</v>
      </c>
      <c r="C3933" t="s">
        <v>91</v>
      </c>
      <c r="D3933" t="s">
        <v>33</v>
      </c>
      <c r="E3933" t="s">
        <v>34</v>
      </c>
      <c r="F3933" t="str">
        <f>"0004224"</f>
        <v>0004224</v>
      </c>
      <c r="G3933">
        <v>1</v>
      </c>
      <c r="H3933" t="str">
        <f>"00000000"</f>
        <v>00000000</v>
      </c>
      <c r="I3933" t="s">
        <v>35</v>
      </c>
      <c r="J3933"/>
      <c r="K3933">
        <v>22.46</v>
      </c>
      <c r="L3933">
        <v>0.0</v>
      </c>
      <c r="M3933"/>
      <c r="N3933"/>
      <c r="O3933">
        <v>4.04</v>
      </c>
      <c r="P3933">
        <v>0.0</v>
      </c>
      <c r="Q3933">
        <v>26.5</v>
      </c>
      <c r="R3933"/>
      <c r="S3933"/>
      <c r="T3933"/>
      <c r="U3933"/>
      <c r="V3933"/>
      <c r="W3933">
        <v>18</v>
      </c>
    </row>
    <row r="3934" spans="1:23">
      <c r="A3934"/>
      <c r="B3934" t="s">
        <v>91</v>
      </c>
      <c r="C3934" t="s">
        <v>91</v>
      </c>
      <c r="D3934" t="s">
        <v>33</v>
      </c>
      <c r="E3934" t="s">
        <v>34</v>
      </c>
      <c r="F3934" t="str">
        <f>"0004225"</f>
        <v>0004225</v>
      </c>
      <c r="G3934">
        <v>1</v>
      </c>
      <c r="H3934" t="str">
        <f>"00000000"</f>
        <v>00000000</v>
      </c>
      <c r="I3934" t="s">
        <v>35</v>
      </c>
      <c r="J3934"/>
      <c r="K3934">
        <v>11.66</v>
      </c>
      <c r="L3934">
        <v>21.15</v>
      </c>
      <c r="M3934"/>
      <c r="N3934"/>
      <c r="O3934">
        <v>2.1</v>
      </c>
      <c r="P3934">
        <v>0.2</v>
      </c>
      <c r="Q3934">
        <v>35.11</v>
      </c>
      <c r="R3934"/>
      <c r="S3934"/>
      <c r="T3934"/>
      <c r="U3934"/>
      <c r="V3934"/>
      <c r="W3934">
        <v>18</v>
      </c>
    </row>
    <row r="3935" spans="1:23">
      <c r="A3935"/>
      <c r="B3935" t="s">
        <v>91</v>
      </c>
      <c r="C3935" t="s">
        <v>91</v>
      </c>
      <c r="D3935" t="s">
        <v>33</v>
      </c>
      <c r="E3935" t="s">
        <v>34</v>
      </c>
      <c r="F3935" t="str">
        <f>"0004226"</f>
        <v>0004226</v>
      </c>
      <c r="G3935">
        <v>1</v>
      </c>
      <c r="H3935" t="str">
        <f>"00000000"</f>
        <v>00000000</v>
      </c>
      <c r="I3935" t="s">
        <v>35</v>
      </c>
      <c r="J3935"/>
      <c r="K3935">
        <v>3.73</v>
      </c>
      <c r="L3935">
        <v>0.0</v>
      </c>
      <c r="M3935"/>
      <c r="N3935"/>
      <c r="O3935">
        <v>0.67</v>
      </c>
      <c r="P3935">
        <v>0.0</v>
      </c>
      <c r="Q3935">
        <v>4.4</v>
      </c>
      <c r="R3935"/>
      <c r="S3935"/>
      <c r="T3935"/>
      <c r="U3935"/>
      <c r="V3935"/>
      <c r="W3935">
        <v>18</v>
      </c>
    </row>
    <row r="3936" spans="1:23">
      <c r="A3936"/>
      <c r="B3936" t="s">
        <v>91</v>
      </c>
      <c r="C3936" t="s">
        <v>91</v>
      </c>
      <c r="D3936" t="s">
        <v>33</v>
      </c>
      <c r="E3936" t="s">
        <v>34</v>
      </c>
      <c r="F3936" t="str">
        <f>"0004227"</f>
        <v>0004227</v>
      </c>
      <c r="G3936">
        <v>1</v>
      </c>
      <c r="H3936" t="str">
        <f>"00000000"</f>
        <v>00000000</v>
      </c>
      <c r="I3936" t="s">
        <v>35</v>
      </c>
      <c r="J3936"/>
      <c r="K3936">
        <v>2.29</v>
      </c>
      <c r="L3936">
        <v>0.0</v>
      </c>
      <c r="M3936"/>
      <c r="N3936"/>
      <c r="O3936">
        <v>0.41</v>
      </c>
      <c r="P3936">
        <v>0.0</v>
      </c>
      <c r="Q3936">
        <v>2.7</v>
      </c>
      <c r="R3936"/>
      <c r="S3936"/>
      <c r="T3936"/>
      <c r="U3936"/>
      <c r="V3936"/>
      <c r="W3936">
        <v>18</v>
      </c>
    </row>
    <row r="3937" spans="1:23">
      <c r="A3937"/>
      <c r="B3937" t="s">
        <v>91</v>
      </c>
      <c r="C3937" t="s">
        <v>91</v>
      </c>
      <c r="D3937" t="s">
        <v>33</v>
      </c>
      <c r="E3937" t="s">
        <v>34</v>
      </c>
      <c r="F3937" t="str">
        <f>"0004228"</f>
        <v>0004228</v>
      </c>
      <c r="G3937">
        <v>1</v>
      </c>
      <c r="H3937" t="str">
        <f>"00000000"</f>
        <v>00000000</v>
      </c>
      <c r="I3937" t="s">
        <v>35</v>
      </c>
      <c r="J3937"/>
      <c r="K3937">
        <v>22.9</v>
      </c>
      <c r="L3937">
        <v>0.0</v>
      </c>
      <c r="M3937"/>
      <c r="N3937"/>
      <c r="O3937">
        <v>4.12</v>
      </c>
      <c r="P3937">
        <v>0.2</v>
      </c>
      <c r="Q3937">
        <v>27.22</v>
      </c>
      <c r="R3937"/>
      <c r="S3937"/>
      <c r="T3937"/>
      <c r="U3937"/>
      <c r="V3937"/>
      <c r="W3937">
        <v>18</v>
      </c>
    </row>
    <row r="3938" spans="1:23">
      <c r="A3938"/>
      <c r="B3938" t="s">
        <v>91</v>
      </c>
      <c r="C3938" t="s">
        <v>91</v>
      </c>
      <c r="D3938" t="s">
        <v>36</v>
      </c>
      <c r="E3938" t="s">
        <v>37</v>
      </c>
      <c r="F3938" t="str">
        <f>"0000054"</f>
        <v>0000054</v>
      </c>
      <c r="G3938">
        <v>6</v>
      </c>
      <c r="H3938" t="str">
        <f>"20480366353"</f>
        <v>20480366353</v>
      </c>
      <c r="I3938" t="s">
        <v>92</v>
      </c>
      <c r="J3938"/>
      <c r="K3938">
        <v>26.84</v>
      </c>
      <c r="L3938">
        <v>9.24</v>
      </c>
      <c r="M3938"/>
      <c r="N3938"/>
      <c r="O3938">
        <v>4.83</v>
      </c>
      <c r="P3938">
        <v>0.2</v>
      </c>
      <c r="Q3938">
        <v>41.11</v>
      </c>
      <c r="R3938"/>
      <c r="S3938"/>
      <c r="T3938"/>
      <c r="U3938"/>
      <c r="V3938"/>
      <c r="W3938">
        <v>18</v>
      </c>
    </row>
    <row r="3939" spans="1:23">
      <c r="A3939"/>
      <c r="B3939" t="s">
        <v>91</v>
      </c>
      <c r="C3939" t="s">
        <v>91</v>
      </c>
      <c r="D3939" t="s">
        <v>33</v>
      </c>
      <c r="E3939" t="s">
        <v>34</v>
      </c>
      <c r="F3939" t="str">
        <f>"0004229"</f>
        <v>0004229</v>
      </c>
      <c r="G3939">
        <v>1</v>
      </c>
      <c r="H3939" t="str">
        <f>"00000000"</f>
        <v>00000000</v>
      </c>
      <c r="I3939" t="s">
        <v>35</v>
      </c>
      <c r="J3939"/>
      <c r="K3939">
        <v>6.95</v>
      </c>
      <c r="L3939">
        <v>0.0</v>
      </c>
      <c r="M3939"/>
      <c r="N3939"/>
      <c r="O3939">
        <v>1.25</v>
      </c>
      <c r="P3939">
        <v>0.0</v>
      </c>
      <c r="Q3939">
        <v>8.2</v>
      </c>
      <c r="R3939"/>
      <c r="S3939"/>
      <c r="T3939"/>
      <c r="U3939"/>
      <c r="V3939"/>
      <c r="W3939">
        <v>18</v>
      </c>
    </row>
    <row r="3940" spans="1:23">
      <c r="A3940"/>
      <c r="B3940" t="s">
        <v>91</v>
      </c>
      <c r="C3940" t="s">
        <v>91</v>
      </c>
      <c r="D3940" t="s">
        <v>33</v>
      </c>
      <c r="E3940" t="s">
        <v>34</v>
      </c>
      <c r="F3940" t="str">
        <f>"0004230"</f>
        <v>0004230</v>
      </c>
      <c r="G3940">
        <v>1</v>
      </c>
      <c r="H3940" t="str">
        <f>"00000000"</f>
        <v>00000000</v>
      </c>
      <c r="I3940" t="s">
        <v>35</v>
      </c>
      <c r="J3940"/>
      <c r="K3940">
        <v>33.92</v>
      </c>
      <c r="L3940">
        <v>0.0</v>
      </c>
      <c r="M3940"/>
      <c r="N3940"/>
      <c r="O3940">
        <v>6.1</v>
      </c>
      <c r="P3940">
        <v>0.2</v>
      </c>
      <c r="Q3940">
        <v>40.22</v>
      </c>
      <c r="R3940"/>
      <c r="S3940"/>
      <c r="T3940"/>
      <c r="U3940"/>
      <c r="V3940"/>
      <c r="W3940">
        <v>18</v>
      </c>
    </row>
    <row r="3941" spans="1:23">
      <c r="A3941"/>
      <c r="B3941" t="s">
        <v>91</v>
      </c>
      <c r="C3941" t="s">
        <v>91</v>
      </c>
      <c r="D3941" t="s">
        <v>33</v>
      </c>
      <c r="E3941" t="s">
        <v>34</v>
      </c>
      <c r="F3941" t="str">
        <f>"0004231"</f>
        <v>0004231</v>
      </c>
      <c r="G3941">
        <v>1</v>
      </c>
      <c r="H3941" t="str">
        <f>"00000000"</f>
        <v>00000000</v>
      </c>
      <c r="I3941" t="s">
        <v>35</v>
      </c>
      <c r="J3941"/>
      <c r="K3941">
        <v>19.51</v>
      </c>
      <c r="L3941">
        <v>32.3</v>
      </c>
      <c r="M3941"/>
      <c r="N3941"/>
      <c r="O3941">
        <v>3.51</v>
      </c>
      <c r="P3941">
        <v>0.0</v>
      </c>
      <c r="Q3941">
        <v>55.32</v>
      </c>
      <c r="R3941"/>
      <c r="S3941"/>
      <c r="T3941"/>
      <c r="U3941"/>
      <c r="V3941"/>
      <c r="W3941">
        <v>18</v>
      </c>
    </row>
    <row r="3942" spans="1:23">
      <c r="A3942"/>
      <c r="B3942" t="s">
        <v>91</v>
      </c>
      <c r="C3942" t="s">
        <v>91</v>
      </c>
      <c r="D3942" t="s">
        <v>33</v>
      </c>
      <c r="E3942" t="s">
        <v>34</v>
      </c>
      <c r="F3942" t="str">
        <f>"0004232"</f>
        <v>0004232</v>
      </c>
      <c r="G3942">
        <v>1</v>
      </c>
      <c r="H3942" t="str">
        <f>"00000000"</f>
        <v>00000000</v>
      </c>
      <c r="I3942" t="s">
        <v>35</v>
      </c>
      <c r="J3942"/>
      <c r="K3942">
        <v>12.03</v>
      </c>
      <c r="L3942">
        <v>0.0</v>
      </c>
      <c r="M3942"/>
      <c r="N3942"/>
      <c r="O3942">
        <v>2.17</v>
      </c>
      <c r="P3942">
        <v>0.0</v>
      </c>
      <c r="Q3942">
        <v>14.2</v>
      </c>
      <c r="R3942"/>
      <c r="S3942"/>
      <c r="T3942"/>
      <c r="U3942"/>
      <c r="V3942"/>
      <c r="W3942">
        <v>18</v>
      </c>
    </row>
    <row r="3943" spans="1:23">
      <c r="A3943"/>
      <c r="B3943" t="s">
        <v>91</v>
      </c>
      <c r="C3943" t="s">
        <v>91</v>
      </c>
      <c r="D3943" t="s">
        <v>33</v>
      </c>
      <c r="E3943" t="s">
        <v>34</v>
      </c>
      <c r="F3943" t="str">
        <f>"0004233"</f>
        <v>0004233</v>
      </c>
      <c r="G3943">
        <v>1</v>
      </c>
      <c r="H3943" t="str">
        <f>"00000000"</f>
        <v>00000000</v>
      </c>
      <c r="I3943" t="s">
        <v>35</v>
      </c>
      <c r="J3943"/>
      <c r="K3943">
        <v>17.9</v>
      </c>
      <c r="L3943">
        <v>0.0</v>
      </c>
      <c r="M3943"/>
      <c r="N3943"/>
      <c r="O3943">
        <v>3.22</v>
      </c>
      <c r="P3943">
        <v>0.2</v>
      </c>
      <c r="Q3943">
        <v>21.32</v>
      </c>
      <c r="R3943"/>
      <c r="S3943"/>
      <c r="T3943"/>
      <c r="U3943"/>
      <c r="V3943"/>
      <c r="W3943">
        <v>18</v>
      </c>
    </row>
    <row r="3944" spans="1:23">
      <c r="A3944"/>
      <c r="B3944" t="s">
        <v>91</v>
      </c>
      <c r="C3944" t="s">
        <v>91</v>
      </c>
      <c r="D3944" t="s">
        <v>33</v>
      </c>
      <c r="E3944" t="s">
        <v>34</v>
      </c>
      <c r="F3944" t="str">
        <f>"0004234"</f>
        <v>0004234</v>
      </c>
      <c r="G3944">
        <v>1</v>
      </c>
      <c r="H3944" t="str">
        <f>"00000000"</f>
        <v>00000000</v>
      </c>
      <c r="I3944" t="s">
        <v>35</v>
      </c>
      <c r="J3944"/>
      <c r="K3944">
        <v>5.95</v>
      </c>
      <c r="L3944">
        <v>0.0</v>
      </c>
      <c r="M3944"/>
      <c r="N3944"/>
      <c r="O3944">
        <v>1.07</v>
      </c>
      <c r="P3944">
        <v>0.0</v>
      </c>
      <c r="Q3944">
        <v>7.02</v>
      </c>
      <c r="R3944"/>
      <c r="S3944"/>
      <c r="T3944"/>
      <c r="U3944"/>
      <c r="V3944"/>
      <c r="W3944">
        <v>18</v>
      </c>
    </row>
    <row r="3945" spans="1:23">
      <c r="A3945"/>
      <c r="B3945" t="s">
        <v>91</v>
      </c>
      <c r="C3945" t="s">
        <v>91</v>
      </c>
      <c r="D3945" t="s">
        <v>33</v>
      </c>
      <c r="E3945" t="s">
        <v>34</v>
      </c>
      <c r="F3945" t="str">
        <f>"0004235"</f>
        <v>0004235</v>
      </c>
      <c r="G3945">
        <v>1</v>
      </c>
      <c r="H3945" t="str">
        <f>"00000000"</f>
        <v>00000000</v>
      </c>
      <c r="I3945" t="s">
        <v>35</v>
      </c>
      <c r="J3945"/>
      <c r="K3945">
        <v>21.18</v>
      </c>
      <c r="L3945">
        <v>0.0</v>
      </c>
      <c r="M3945"/>
      <c r="N3945"/>
      <c r="O3945">
        <v>3.81</v>
      </c>
      <c r="P3945">
        <v>0.0</v>
      </c>
      <c r="Q3945">
        <v>24.99</v>
      </c>
      <c r="R3945"/>
      <c r="S3945"/>
      <c r="T3945"/>
      <c r="U3945"/>
      <c r="V3945"/>
      <c r="W3945">
        <v>18</v>
      </c>
    </row>
    <row r="3946" spans="1:23">
      <c r="A3946"/>
      <c r="B3946" t="s">
        <v>91</v>
      </c>
      <c r="C3946" t="s">
        <v>91</v>
      </c>
      <c r="D3946" t="s">
        <v>33</v>
      </c>
      <c r="E3946" t="s">
        <v>34</v>
      </c>
      <c r="F3946" t="str">
        <f>"0004236"</f>
        <v>0004236</v>
      </c>
      <c r="G3946">
        <v>1</v>
      </c>
      <c r="H3946" t="str">
        <f>"00000000"</f>
        <v>00000000</v>
      </c>
      <c r="I3946" t="s">
        <v>35</v>
      </c>
      <c r="J3946"/>
      <c r="K3946">
        <v>21.12</v>
      </c>
      <c r="L3946">
        <v>0.0</v>
      </c>
      <c r="M3946"/>
      <c r="N3946"/>
      <c r="O3946">
        <v>3.8</v>
      </c>
      <c r="P3946">
        <v>0.2</v>
      </c>
      <c r="Q3946">
        <v>25.12</v>
      </c>
      <c r="R3946"/>
      <c r="S3946"/>
      <c r="T3946"/>
      <c r="U3946"/>
      <c r="V3946"/>
      <c r="W3946">
        <v>18</v>
      </c>
    </row>
    <row r="3947" spans="1:23">
      <c r="A3947"/>
      <c r="B3947" t="s">
        <v>91</v>
      </c>
      <c r="C3947" t="s">
        <v>91</v>
      </c>
      <c r="D3947" t="s">
        <v>33</v>
      </c>
      <c r="E3947" t="s">
        <v>34</v>
      </c>
      <c r="F3947" t="str">
        <f>"0004237"</f>
        <v>0004237</v>
      </c>
      <c r="G3947">
        <v>1</v>
      </c>
      <c r="H3947" t="str">
        <f>"00000000"</f>
        <v>00000000</v>
      </c>
      <c r="I3947" t="s">
        <v>35</v>
      </c>
      <c r="J3947"/>
      <c r="K3947">
        <v>1.27</v>
      </c>
      <c r="L3947">
        <v>0.0</v>
      </c>
      <c r="M3947"/>
      <c r="N3947"/>
      <c r="O3947">
        <v>0.23</v>
      </c>
      <c r="P3947">
        <v>0.0</v>
      </c>
      <c r="Q3947">
        <v>1.5</v>
      </c>
      <c r="R3947"/>
      <c r="S3947"/>
      <c r="T3947"/>
      <c r="U3947"/>
      <c r="V3947"/>
      <c r="W3947">
        <v>18</v>
      </c>
    </row>
    <row r="3948" spans="1:23">
      <c r="A3948"/>
      <c r="B3948" t="s">
        <v>91</v>
      </c>
      <c r="C3948" t="s">
        <v>91</v>
      </c>
      <c r="D3948" t="s">
        <v>33</v>
      </c>
      <c r="E3948" t="s">
        <v>34</v>
      </c>
      <c r="F3948" t="str">
        <f>"0004238"</f>
        <v>0004238</v>
      </c>
      <c r="G3948">
        <v>1</v>
      </c>
      <c r="H3948" t="str">
        <f>"00000000"</f>
        <v>00000000</v>
      </c>
      <c r="I3948" t="s">
        <v>35</v>
      </c>
      <c r="J3948"/>
      <c r="K3948">
        <v>0.0</v>
      </c>
      <c r="L3948">
        <v>10.98</v>
      </c>
      <c r="M3948"/>
      <c r="N3948"/>
      <c r="O3948">
        <v>0.0</v>
      </c>
      <c r="P3948">
        <v>0.0</v>
      </c>
      <c r="Q3948">
        <v>10.98</v>
      </c>
      <c r="R3948"/>
      <c r="S3948"/>
      <c r="T3948"/>
      <c r="U3948"/>
      <c r="V3948"/>
      <c r="W3948">
        <v>18</v>
      </c>
    </row>
    <row r="3949" spans="1:23">
      <c r="A3949"/>
      <c r="B3949" t="s">
        <v>91</v>
      </c>
      <c r="C3949" t="s">
        <v>91</v>
      </c>
      <c r="D3949" t="s">
        <v>33</v>
      </c>
      <c r="E3949" t="s">
        <v>34</v>
      </c>
      <c r="F3949" t="str">
        <f>"0004239"</f>
        <v>0004239</v>
      </c>
      <c r="G3949">
        <v>1</v>
      </c>
      <c r="H3949" t="str">
        <f>"00000000"</f>
        <v>00000000</v>
      </c>
      <c r="I3949" t="s">
        <v>35</v>
      </c>
      <c r="J3949"/>
      <c r="K3949">
        <v>7.4</v>
      </c>
      <c r="L3949">
        <v>0.0</v>
      </c>
      <c r="M3949"/>
      <c r="N3949"/>
      <c r="O3949">
        <v>1.33</v>
      </c>
      <c r="P3949">
        <v>0.0</v>
      </c>
      <c r="Q3949">
        <v>8.73</v>
      </c>
      <c r="R3949"/>
      <c r="S3949"/>
      <c r="T3949"/>
      <c r="U3949"/>
      <c r="V3949"/>
      <c r="W3949">
        <v>18</v>
      </c>
    </row>
    <row r="3950" spans="1:23">
      <c r="A3950"/>
      <c r="B3950" t="s">
        <v>91</v>
      </c>
      <c r="C3950" t="s">
        <v>91</v>
      </c>
      <c r="D3950" t="s">
        <v>33</v>
      </c>
      <c r="E3950" t="s">
        <v>34</v>
      </c>
      <c r="F3950" t="str">
        <f>"0004240"</f>
        <v>0004240</v>
      </c>
      <c r="G3950">
        <v>1</v>
      </c>
      <c r="H3950" t="str">
        <f>"00000000"</f>
        <v>00000000</v>
      </c>
      <c r="I3950" t="s">
        <v>35</v>
      </c>
      <c r="J3950"/>
      <c r="K3950">
        <v>5.94</v>
      </c>
      <c r="L3950">
        <v>2.8</v>
      </c>
      <c r="M3950"/>
      <c r="N3950"/>
      <c r="O3950">
        <v>1.07</v>
      </c>
      <c r="P3950">
        <v>0.2</v>
      </c>
      <c r="Q3950">
        <v>10.01</v>
      </c>
      <c r="R3950"/>
      <c r="S3950"/>
      <c r="T3950"/>
      <c r="U3950"/>
      <c r="V3950"/>
      <c r="W3950">
        <v>18</v>
      </c>
    </row>
    <row r="3951" spans="1:23">
      <c r="A3951"/>
      <c r="B3951" t="s">
        <v>91</v>
      </c>
      <c r="C3951" t="s">
        <v>91</v>
      </c>
      <c r="D3951" t="s">
        <v>33</v>
      </c>
      <c r="E3951" t="s">
        <v>34</v>
      </c>
      <c r="F3951" t="str">
        <f>"0004241"</f>
        <v>0004241</v>
      </c>
      <c r="G3951">
        <v>1</v>
      </c>
      <c r="H3951" t="str">
        <f>"00000000"</f>
        <v>00000000</v>
      </c>
      <c r="I3951" t="s">
        <v>35</v>
      </c>
      <c r="J3951"/>
      <c r="K3951">
        <v>7.37</v>
      </c>
      <c r="L3951">
        <v>0.0</v>
      </c>
      <c r="M3951"/>
      <c r="N3951"/>
      <c r="O3951">
        <v>1.33</v>
      </c>
      <c r="P3951">
        <v>0.0</v>
      </c>
      <c r="Q3951">
        <v>8.7</v>
      </c>
      <c r="R3951"/>
      <c r="S3951"/>
      <c r="T3951"/>
      <c r="U3951"/>
      <c r="V3951"/>
      <c r="W3951">
        <v>18</v>
      </c>
    </row>
    <row r="3952" spans="1:23">
      <c r="A3952"/>
      <c r="B3952" t="s">
        <v>91</v>
      </c>
      <c r="C3952" t="s">
        <v>91</v>
      </c>
      <c r="D3952" t="s">
        <v>33</v>
      </c>
      <c r="E3952" t="s">
        <v>34</v>
      </c>
      <c r="F3952" t="str">
        <f>"0004242"</f>
        <v>0004242</v>
      </c>
      <c r="G3952">
        <v>1</v>
      </c>
      <c r="H3952" t="str">
        <f>"00000000"</f>
        <v>00000000</v>
      </c>
      <c r="I3952" t="s">
        <v>35</v>
      </c>
      <c r="J3952"/>
      <c r="K3952">
        <v>244.67</v>
      </c>
      <c r="L3952">
        <v>28.9</v>
      </c>
      <c r="M3952"/>
      <c r="N3952"/>
      <c r="O3952">
        <v>44.04</v>
      </c>
      <c r="P3952">
        <v>0.6</v>
      </c>
      <c r="Q3952">
        <v>318.21</v>
      </c>
      <c r="R3952"/>
      <c r="S3952"/>
      <c r="T3952"/>
      <c r="U3952"/>
      <c r="V3952"/>
      <c r="W3952">
        <v>18</v>
      </c>
    </row>
    <row r="3953" spans="1:23">
      <c r="A3953"/>
      <c r="B3953" t="s">
        <v>91</v>
      </c>
      <c r="C3953" t="s">
        <v>91</v>
      </c>
      <c r="D3953" t="s">
        <v>33</v>
      </c>
      <c r="E3953" t="s">
        <v>34</v>
      </c>
      <c r="F3953" t="str">
        <f>"0004243"</f>
        <v>0004243</v>
      </c>
      <c r="G3953">
        <v>1</v>
      </c>
      <c r="H3953" t="str">
        <f>"00000000"</f>
        <v>00000000</v>
      </c>
      <c r="I3953" t="s">
        <v>35</v>
      </c>
      <c r="J3953"/>
      <c r="K3953">
        <v>27.81</v>
      </c>
      <c r="L3953">
        <v>0.0</v>
      </c>
      <c r="M3953"/>
      <c r="N3953"/>
      <c r="O3953">
        <v>5.01</v>
      </c>
      <c r="P3953">
        <v>0.2</v>
      </c>
      <c r="Q3953">
        <v>33.02</v>
      </c>
      <c r="R3953"/>
      <c r="S3953"/>
      <c r="T3953"/>
      <c r="U3953"/>
      <c r="V3953"/>
      <c r="W3953">
        <v>18</v>
      </c>
    </row>
    <row r="3954" spans="1:23">
      <c r="A3954"/>
      <c r="B3954" t="s">
        <v>91</v>
      </c>
      <c r="C3954" t="s">
        <v>91</v>
      </c>
      <c r="D3954" t="s">
        <v>33</v>
      </c>
      <c r="E3954" t="s">
        <v>34</v>
      </c>
      <c r="F3954" t="str">
        <f>"0004244"</f>
        <v>0004244</v>
      </c>
      <c r="G3954">
        <v>1</v>
      </c>
      <c r="H3954" t="str">
        <f>"00000000"</f>
        <v>00000000</v>
      </c>
      <c r="I3954" t="s">
        <v>35</v>
      </c>
      <c r="J3954"/>
      <c r="K3954">
        <v>8.31</v>
      </c>
      <c r="L3954">
        <v>27.9</v>
      </c>
      <c r="M3954"/>
      <c r="N3954"/>
      <c r="O3954">
        <v>1.49</v>
      </c>
      <c r="P3954">
        <v>0.0</v>
      </c>
      <c r="Q3954">
        <v>37.7</v>
      </c>
      <c r="R3954"/>
      <c r="S3954"/>
      <c r="T3954"/>
      <c r="U3954"/>
      <c r="V3954"/>
      <c r="W3954">
        <v>18</v>
      </c>
    </row>
    <row r="3955" spans="1:23">
      <c r="A3955"/>
      <c r="B3955" t="s">
        <v>91</v>
      </c>
      <c r="C3955" t="s">
        <v>91</v>
      </c>
      <c r="D3955" t="s">
        <v>33</v>
      </c>
      <c r="E3955" t="s">
        <v>34</v>
      </c>
      <c r="F3955" t="str">
        <f>"0004245"</f>
        <v>0004245</v>
      </c>
      <c r="G3955">
        <v>1</v>
      </c>
      <c r="H3955" t="str">
        <f>"00000000"</f>
        <v>00000000</v>
      </c>
      <c r="I3955" t="s">
        <v>35</v>
      </c>
      <c r="J3955"/>
      <c r="K3955">
        <v>4.15</v>
      </c>
      <c r="L3955">
        <v>0.0</v>
      </c>
      <c r="M3955"/>
      <c r="N3955"/>
      <c r="O3955">
        <v>0.75</v>
      </c>
      <c r="P3955">
        <v>0.0</v>
      </c>
      <c r="Q3955">
        <v>4.9</v>
      </c>
      <c r="R3955"/>
      <c r="S3955"/>
      <c r="T3955"/>
      <c r="U3955"/>
      <c r="V3955"/>
      <c r="W3955">
        <v>18</v>
      </c>
    </row>
    <row r="3956" spans="1:23">
      <c r="A3956"/>
      <c r="B3956" t="s">
        <v>91</v>
      </c>
      <c r="C3956" t="s">
        <v>91</v>
      </c>
      <c r="D3956" t="s">
        <v>33</v>
      </c>
      <c r="E3956" t="s">
        <v>34</v>
      </c>
      <c r="F3956" t="str">
        <f>"0004246"</f>
        <v>0004246</v>
      </c>
      <c r="G3956">
        <v>1</v>
      </c>
      <c r="H3956" t="str">
        <f>"00000000"</f>
        <v>00000000</v>
      </c>
      <c r="I3956" t="s">
        <v>35</v>
      </c>
      <c r="J3956"/>
      <c r="K3956">
        <v>4.17</v>
      </c>
      <c r="L3956">
        <v>0.0</v>
      </c>
      <c r="M3956"/>
      <c r="N3956"/>
      <c r="O3956">
        <v>0.75</v>
      </c>
      <c r="P3956">
        <v>0.2</v>
      </c>
      <c r="Q3956">
        <v>5.12</v>
      </c>
      <c r="R3956"/>
      <c r="S3956"/>
      <c r="T3956"/>
      <c r="U3956"/>
      <c r="V3956"/>
      <c r="W3956">
        <v>18</v>
      </c>
    </row>
    <row r="3957" spans="1:23">
      <c r="A3957"/>
      <c r="B3957" t="s">
        <v>91</v>
      </c>
      <c r="C3957" t="s">
        <v>91</v>
      </c>
      <c r="D3957" t="s">
        <v>33</v>
      </c>
      <c r="E3957" t="s">
        <v>34</v>
      </c>
      <c r="F3957" t="str">
        <f>"0004247"</f>
        <v>0004247</v>
      </c>
      <c r="G3957">
        <v>1</v>
      </c>
      <c r="H3957" t="str">
        <f>"00000000"</f>
        <v>00000000</v>
      </c>
      <c r="I3957" t="s">
        <v>35</v>
      </c>
      <c r="J3957"/>
      <c r="K3957">
        <v>1.86</v>
      </c>
      <c r="L3957">
        <v>0.0</v>
      </c>
      <c r="M3957"/>
      <c r="N3957"/>
      <c r="O3957">
        <v>0.34</v>
      </c>
      <c r="P3957">
        <v>0.0</v>
      </c>
      <c r="Q3957">
        <v>2.2</v>
      </c>
      <c r="R3957"/>
      <c r="S3957"/>
      <c r="T3957"/>
      <c r="U3957"/>
      <c r="V3957"/>
      <c r="W3957">
        <v>18</v>
      </c>
    </row>
    <row r="3958" spans="1:23">
      <c r="A3958"/>
      <c r="B3958" t="s">
        <v>91</v>
      </c>
      <c r="C3958" t="s">
        <v>91</v>
      </c>
      <c r="D3958" t="s">
        <v>33</v>
      </c>
      <c r="E3958" t="s">
        <v>34</v>
      </c>
      <c r="F3958" t="str">
        <f>"0004248"</f>
        <v>0004248</v>
      </c>
      <c r="G3958">
        <v>1</v>
      </c>
      <c r="H3958" t="str">
        <f>"00000000"</f>
        <v>00000000</v>
      </c>
      <c r="I3958" t="s">
        <v>35</v>
      </c>
      <c r="J3958"/>
      <c r="K3958">
        <v>79.48</v>
      </c>
      <c r="L3958">
        <v>0.0</v>
      </c>
      <c r="M3958"/>
      <c r="N3958"/>
      <c r="O3958">
        <v>14.31</v>
      </c>
      <c r="P3958">
        <v>0.2</v>
      </c>
      <c r="Q3958">
        <v>93.99</v>
      </c>
      <c r="R3958"/>
      <c r="S3958"/>
      <c r="T3958"/>
      <c r="U3958"/>
      <c r="V3958"/>
      <c r="W3958">
        <v>18</v>
      </c>
    </row>
    <row r="3959" spans="1:23">
      <c r="A3959"/>
      <c r="B3959" t="s">
        <v>91</v>
      </c>
      <c r="C3959" t="s">
        <v>91</v>
      </c>
      <c r="D3959" t="s">
        <v>33</v>
      </c>
      <c r="E3959" t="s">
        <v>34</v>
      </c>
      <c r="F3959" t="str">
        <f>"0004249"</f>
        <v>0004249</v>
      </c>
      <c r="G3959">
        <v>1</v>
      </c>
      <c r="H3959" t="str">
        <f>"00000000"</f>
        <v>00000000</v>
      </c>
      <c r="I3959" t="s">
        <v>35</v>
      </c>
      <c r="J3959"/>
      <c r="K3959">
        <v>10.61</v>
      </c>
      <c r="L3959">
        <v>0.72</v>
      </c>
      <c r="M3959"/>
      <c r="N3959"/>
      <c r="O3959">
        <v>1.91</v>
      </c>
      <c r="P3959">
        <v>0.2</v>
      </c>
      <c r="Q3959">
        <v>13.44</v>
      </c>
      <c r="R3959"/>
      <c r="S3959"/>
      <c r="T3959"/>
      <c r="U3959"/>
      <c r="V3959"/>
      <c r="W3959">
        <v>18</v>
      </c>
    </row>
    <row r="3960" spans="1:23">
      <c r="A3960"/>
      <c r="B3960" t="s">
        <v>91</v>
      </c>
      <c r="C3960" t="s">
        <v>91</v>
      </c>
      <c r="D3960" t="s">
        <v>33</v>
      </c>
      <c r="E3960" t="s">
        <v>34</v>
      </c>
      <c r="F3960" t="str">
        <f>"0004250"</f>
        <v>0004250</v>
      </c>
      <c r="G3960">
        <v>1</v>
      </c>
      <c r="H3960" t="str">
        <f>"00000000"</f>
        <v>00000000</v>
      </c>
      <c r="I3960" t="s">
        <v>35</v>
      </c>
      <c r="J3960"/>
      <c r="K3960">
        <v>15.27</v>
      </c>
      <c r="L3960">
        <v>0.0</v>
      </c>
      <c r="M3960"/>
      <c r="N3960"/>
      <c r="O3960">
        <v>2.75</v>
      </c>
      <c r="P3960">
        <v>0.2</v>
      </c>
      <c r="Q3960">
        <v>18.22</v>
      </c>
      <c r="R3960"/>
      <c r="S3960"/>
      <c r="T3960"/>
      <c r="U3960"/>
      <c r="V3960"/>
      <c r="W3960">
        <v>18</v>
      </c>
    </row>
    <row r="3961" spans="1:23">
      <c r="A3961"/>
      <c r="B3961" t="s">
        <v>91</v>
      </c>
      <c r="C3961" t="s">
        <v>91</v>
      </c>
      <c r="D3961" t="s">
        <v>33</v>
      </c>
      <c r="E3961" t="s">
        <v>34</v>
      </c>
      <c r="F3961" t="str">
        <f>"0004251"</f>
        <v>0004251</v>
      </c>
      <c r="G3961">
        <v>1</v>
      </c>
      <c r="H3961" t="str">
        <f>"00000000"</f>
        <v>00000000</v>
      </c>
      <c r="I3961" t="s">
        <v>35</v>
      </c>
      <c r="J3961"/>
      <c r="K3961">
        <v>13.69</v>
      </c>
      <c r="L3961">
        <v>0.0</v>
      </c>
      <c r="M3961"/>
      <c r="N3961"/>
      <c r="O3961">
        <v>2.46</v>
      </c>
      <c r="P3961">
        <v>0.0</v>
      </c>
      <c r="Q3961">
        <v>16.16</v>
      </c>
      <c r="R3961"/>
      <c r="S3961"/>
      <c r="T3961"/>
      <c r="U3961"/>
      <c r="V3961"/>
      <c r="W3961">
        <v>18</v>
      </c>
    </row>
    <row r="3962" spans="1:23">
      <c r="A3962"/>
      <c r="B3962" t="s">
        <v>91</v>
      </c>
      <c r="C3962" t="s">
        <v>91</v>
      </c>
      <c r="D3962" t="s">
        <v>33</v>
      </c>
      <c r="E3962" t="s">
        <v>34</v>
      </c>
      <c r="F3962" t="str">
        <f>"0004252"</f>
        <v>0004252</v>
      </c>
      <c r="G3962">
        <v>1</v>
      </c>
      <c r="H3962" t="str">
        <f>"00000000"</f>
        <v>00000000</v>
      </c>
      <c r="I3962" t="s">
        <v>35</v>
      </c>
      <c r="J3962"/>
      <c r="K3962">
        <v>0.02</v>
      </c>
      <c r="L3962">
        <v>0.0</v>
      </c>
      <c r="M3962"/>
      <c r="N3962"/>
      <c r="O3962">
        <v>0.0</v>
      </c>
      <c r="P3962">
        <v>0.2</v>
      </c>
      <c r="Q3962">
        <v>0.22</v>
      </c>
      <c r="R3962"/>
      <c r="S3962"/>
      <c r="T3962"/>
      <c r="U3962"/>
      <c r="V3962"/>
      <c r="W3962">
        <v>18</v>
      </c>
    </row>
    <row r="3963" spans="1:23">
      <c r="A3963"/>
      <c r="B3963" t="s">
        <v>91</v>
      </c>
      <c r="C3963" t="s">
        <v>91</v>
      </c>
      <c r="D3963" t="s">
        <v>33</v>
      </c>
      <c r="E3963" t="s">
        <v>34</v>
      </c>
      <c r="F3963" t="str">
        <f>"0004253"</f>
        <v>0004253</v>
      </c>
      <c r="G3963">
        <v>1</v>
      </c>
      <c r="H3963" t="str">
        <f>"00000000"</f>
        <v>00000000</v>
      </c>
      <c r="I3963" t="s">
        <v>35</v>
      </c>
      <c r="J3963"/>
      <c r="K3963">
        <v>5.24</v>
      </c>
      <c r="L3963">
        <v>11.41</v>
      </c>
      <c r="M3963"/>
      <c r="N3963"/>
      <c r="O3963">
        <v>0.94</v>
      </c>
      <c r="P3963">
        <v>0.2</v>
      </c>
      <c r="Q3963">
        <v>17.8</v>
      </c>
      <c r="R3963"/>
      <c r="S3963"/>
      <c r="T3963"/>
      <c r="U3963"/>
      <c r="V3963"/>
      <c r="W3963">
        <v>18</v>
      </c>
    </row>
    <row r="3964" spans="1:23">
      <c r="A3964"/>
      <c r="B3964" t="s">
        <v>91</v>
      </c>
      <c r="C3964" t="s">
        <v>91</v>
      </c>
      <c r="D3964" t="s">
        <v>33</v>
      </c>
      <c r="E3964" t="s">
        <v>34</v>
      </c>
      <c r="F3964" t="str">
        <f>"0004254"</f>
        <v>0004254</v>
      </c>
      <c r="G3964">
        <v>1</v>
      </c>
      <c r="H3964" t="str">
        <f>"00000000"</f>
        <v>00000000</v>
      </c>
      <c r="I3964" t="s">
        <v>35</v>
      </c>
      <c r="J3964"/>
      <c r="K3964">
        <v>4.32</v>
      </c>
      <c r="L3964">
        <v>0.0</v>
      </c>
      <c r="M3964"/>
      <c r="N3964"/>
      <c r="O3964">
        <v>0.78</v>
      </c>
      <c r="P3964">
        <v>0.0</v>
      </c>
      <c r="Q3964">
        <v>5.1</v>
      </c>
      <c r="R3964"/>
      <c r="S3964"/>
      <c r="T3964"/>
      <c r="U3964"/>
      <c r="V3964"/>
      <c r="W3964">
        <v>18</v>
      </c>
    </row>
    <row r="3965" spans="1:23">
      <c r="A3965"/>
      <c r="B3965" t="s">
        <v>91</v>
      </c>
      <c r="C3965" t="s">
        <v>91</v>
      </c>
      <c r="D3965" t="s">
        <v>33</v>
      </c>
      <c r="E3965" t="s">
        <v>34</v>
      </c>
      <c r="F3965" t="str">
        <f>"0004255"</f>
        <v>0004255</v>
      </c>
      <c r="G3965">
        <v>1</v>
      </c>
      <c r="H3965" t="str">
        <f>"00000000"</f>
        <v>00000000</v>
      </c>
      <c r="I3965" t="s">
        <v>35</v>
      </c>
      <c r="J3965"/>
      <c r="K3965">
        <v>10.93</v>
      </c>
      <c r="L3965">
        <v>0.0</v>
      </c>
      <c r="M3965"/>
      <c r="N3965"/>
      <c r="O3965">
        <v>1.97</v>
      </c>
      <c r="P3965">
        <v>0.0</v>
      </c>
      <c r="Q3965">
        <v>12.9</v>
      </c>
      <c r="R3965"/>
      <c r="S3965"/>
      <c r="T3965"/>
      <c r="U3965"/>
      <c r="V3965"/>
      <c r="W3965">
        <v>18</v>
      </c>
    </row>
    <row r="3966" spans="1:23">
      <c r="A3966"/>
      <c r="B3966" t="s">
        <v>91</v>
      </c>
      <c r="C3966" t="s">
        <v>91</v>
      </c>
      <c r="D3966" t="s">
        <v>33</v>
      </c>
      <c r="E3966" t="s">
        <v>34</v>
      </c>
      <c r="F3966" t="str">
        <f>"0004256"</f>
        <v>0004256</v>
      </c>
      <c r="G3966">
        <v>1</v>
      </c>
      <c r="H3966" t="str">
        <f>"00000000"</f>
        <v>00000000</v>
      </c>
      <c r="I3966" t="s">
        <v>35</v>
      </c>
      <c r="J3966"/>
      <c r="K3966">
        <v>1.02</v>
      </c>
      <c r="L3966">
        <v>0.0</v>
      </c>
      <c r="M3966"/>
      <c r="N3966"/>
      <c r="O3966">
        <v>0.18</v>
      </c>
      <c r="P3966">
        <v>0.0</v>
      </c>
      <c r="Q3966">
        <v>1.2</v>
      </c>
      <c r="R3966"/>
      <c r="S3966"/>
      <c r="T3966"/>
      <c r="U3966"/>
      <c r="V3966"/>
      <c r="W3966">
        <v>18</v>
      </c>
    </row>
    <row r="3967" spans="1:23">
      <c r="A3967"/>
      <c r="B3967" t="s">
        <v>91</v>
      </c>
      <c r="C3967" t="s">
        <v>91</v>
      </c>
      <c r="D3967" t="s">
        <v>33</v>
      </c>
      <c r="E3967" t="s">
        <v>34</v>
      </c>
      <c r="F3967" t="str">
        <f>"0004257"</f>
        <v>0004257</v>
      </c>
      <c r="G3967">
        <v>1</v>
      </c>
      <c r="H3967" t="str">
        <f>"00000000"</f>
        <v>00000000</v>
      </c>
      <c r="I3967" t="s">
        <v>35</v>
      </c>
      <c r="J3967"/>
      <c r="K3967">
        <v>1.02</v>
      </c>
      <c r="L3967">
        <v>0.0</v>
      </c>
      <c r="M3967"/>
      <c r="N3967"/>
      <c r="O3967">
        <v>0.18</v>
      </c>
      <c r="P3967">
        <v>0.0</v>
      </c>
      <c r="Q3967">
        <v>1.2</v>
      </c>
      <c r="R3967"/>
      <c r="S3967"/>
      <c r="T3967"/>
      <c r="U3967"/>
      <c r="V3967"/>
      <c r="W3967">
        <v>18</v>
      </c>
    </row>
    <row r="3968" spans="1:23">
      <c r="A3968"/>
      <c r="B3968" t="s">
        <v>91</v>
      </c>
      <c r="C3968" t="s">
        <v>91</v>
      </c>
      <c r="D3968" t="s">
        <v>33</v>
      </c>
      <c r="E3968" t="s">
        <v>34</v>
      </c>
      <c r="F3968" t="str">
        <f>"0004258"</f>
        <v>0004258</v>
      </c>
      <c r="G3968">
        <v>1</v>
      </c>
      <c r="H3968" t="str">
        <f>"00000000"</f>
        <v>00000000</v>
      </c>
      <c r="I3968" t="s">
        <v>35</v>
      </c>
      <c r="J3968"/>
      <c r="K3968">
        <v>12.73</v>
      </c>
      <c r="L3968">
        <v>0.0</v>
      </c>
      <c r="M3968"/>
      <c r="N3968"/>
      <c r="O3968">
        <v>2.29</v>
      </c>
      <c r="P3968">
        <v>0.2</v>
      </c>
      <c r="Q3968">
        <v>15.22</v>
      </c>
      <c r="R3968"/>
      <c r="S3968"/>
      <c r="T3968"/>
      <c r="U3968"/>
      <c r="V3968"/>
      <c r="W3968">
        <v>18</v>
      </c>
    </row>
    <row r="3969" spans="1:23">
      <c r="A3969"/>
      <c r="B3969" t="s">
        <v>91</v>
      </c>
      <c r="C3969" t="s">
        <v>91</v>
      </c>
      <c r="D3969" t="s">
        <v>33</v>
      </c>
      <c r="E3969" t="s">
        <v>34</v>
      </c>
      <c r="F3969" t="str">
        <f>"0004259"</f>
        <v>0004259</v>
      </c>
      <c r="G3969">
        <v>1</v>
      </c>
      <c r="H3969" t="str">
        <f>"00000000"</f>
        <v>00000000</v>
      </c>
      <c r="I3969" t="s">
        <v>35</v>
      </c>
      <c r="J3969"/>
      <c r="K3969">
        <v>18.41</v>
      </c>
      <c r="L3969">
        <v>5.9</v>
      </c>
      <c r="M3969"/>
      <c r="N3969"/>
      <c r="O3969">
        <v>3.31</v>
      </c>
      <c r="P3969">
        <v>0.2</v>
      </c>
      <c r="Q3969">
        <v>27.82</v>
      </c>
      <c r="R3969"/>
      <c r="S3969"/>
      <c r="T3969"/>
      <c r="U3969"/>
      <c r="V3969"/>
      <c r="W3969">
        <v>18</v>
      </c>
    </row>
    <row r="3970" spans="1:23">
      <c r="A3970"/>
      <c r="B3970" t="s">
        <v>91</v>
      </c>
      <c r="C3970" t="s">
        <v>91</v>
      </c>
      <c r="D3970" t="s">
        <v>33</v>
      </c>
      <c r="E3970" t="s">
        <v>34</v>
      </c>
      <c r="F3970" t="str">
        <f>"0004260"</f>
        <v>0004260</v>
      </c>
      <c r="G3970">
        <v>1</v>
      </c>
      <c r="H3970" t="str">
        <f>"00000000"</f>
        <v>00000000</v>
      </c>
      <c r="I3970" t="s">
        <v>35</v>
      </c>
      <c r="J3970"/>
      <c r="K3970">
        <v>20.1</v>
      </c>
      <c r="L3970">
        <v>2.89</v>
      </c>
      <c r="M3970"/>
      <c r="N3970"/>
      <c r="O3970">
        <v>3.62</v>
      </c>
      <c r="P3970">
        <v>0.2</v>
      </c>
      <c r="Q3970">
        <v>26.81</v>
      </c>
      <c r="R3970"/>
      <c r="S3970"/>
      <c r="T3970"/>
      <c r="U3970"/>
      <c r="V3970"/>
      <c r="W3970">
        <v>18</v>
      </c>
    </row>
    <row r="3971" spans="1:23">
      <c r="A3971"/>
      <c r="B3971" t="s">
        <v>91</v>
      </c>
      <c r="C3971" t="s">
        <v>91</v>
      </c>
      <c r="D3971" t="s">
        <v>33</v>
      </c>
      <c r="E3971" t="s">
        <v>34</v>
      </c>
      <c r="F3971" t="str">
        <f>"0004261"</f>
        <v>0004261</v>
      </c>
      <c r="G3971">
        <v>1</v>
      </c>
      <c r="H3971" t="str">
        <f>"00000000"</f>
        <v>00000000</v>
      </c>
      <c r="I3971" t="s">
        <v>35</v>
      </c>
      <c r="J3971"/>
      <c r="K3971">
        <v>14.64</v>
      </c>
      <c r="L3971">
        <v>0.0</v>
      </c>
      <c r="M3971"/>
      <c r="N3971"/>
      <c r="O3971">
        <v>2.63</v>
      </c>
      <c r="P3971">
        <v>0.2</v>
      </c>
      <c r="Q3971">
        <v>17.47</v>
      </c>
      <c r="R3971"/>
      <c r="S3971"/>
      <c r="T3971"/>
      <c r="U3971"/>
      <c r="V3971"/>
      <c r="W3971">
        <v>18</v>
      </c>
    </row>
    <row r="3972" spans="1:23">
      <c r="A3972"/>
      <c r="B3972" t="s">
        <v>91</v>
      </c>
      <c r="C3972" t="s">
        <v>91</v>
      </c>
      <c r="D3972" t="s">
        <v>33</v>
      </c>
      <c r="E3972" t="s">
        <v>34</v>
      </c>
      <c r="F3972" t="str">
        <f>"0004262"</f>
        <v>0004262</v>
      </c>
      <c r="G3972">
        <v>1</v>
      </c>
      <c r="H3972" t="str">
        <f>"00000000"</f>
        <v>00000000</v>
      </c>
      <c r="I3972" t="s">
        <v>35</v>
      </c>
      <c r="J3972"/>
      <c r="K3972">
        <v>8.49</v>
      </c>
      <c r="L3972">
        <v>0.0</v>
      </c>
      <c r="M3972"/>
      <c r="N3972"/>
      <c r="O3972">
        <v>1.53</v>
      </c>
      <c r="P3972">
        <v>0.2</v>
      </c>
      <c r="Q3972">
        <v>10.22</v>
      </c>
      <c r="R3972"/>
      <c r="S3972"/>
      <c r="T3972"/>
      <c r="U3972"/>
      <c r="V3972"/>
      <c r="W3972">
        <v>18</v>
      </c>
    </row>
    <row r="3973" spans="1:23">
      <c r="A3973"/>
      <c r="B3973" t="s">
        <v>91</v>
      </c>
      <c r="C3973" t="s">
        <v>91</v>
      </c>
      <c r="D3973" t="s">
        <v>33</v>
      </c>
      <c r="E3973" t="s">
        <v>34</v>
      </c>
      <c r="F3973" t="str">
        <f>"0004263"</f>
        <v>0004263</v>
      </c>
      <c r="G3973">
        <v>1</v>
      </c>
      <c r="H3973" t="str">
        <f>"00000000"</f>
        <v>00000000</v>
      </c>
      <c r="I3973" t="s">
        <v>35</v>
      </c>
      <c r="J3973"/>
      <c r="K3973">
        <v>5.53</v>
      </c>
      <c r="L3973">
        <v>11.38</v>
      </c>
      <c r="M3973"/>
      <c r="N3973"/>
      <c r="O3973">
        <v>0.99</v>
      </c>
      <c r="P3973">
        <v>0.2</v>
      </c>
      <c r="Q3973">
        <v>18.1</v>
      </c>
      <c r="R3973"/>
      <c r="S3973"/>
      <c r="T3973"/>
      <c r="U3973"/>
      <c r="V3973"/>
      <c r="W3973">
        <v>18</v>
      </c>
    </row>
    <row r="3974" spans="1:23">
      <c r="A3974"/>
      <c r="B3974" t="s">
        <v>91</v>
      </c>
      <c r="C3974" t="s">
        <v>91</v>
      </c>
      <c r="D3974" t="s">
        <v>33</v>
      </c>
      <c r="E3974" t="s">
        <v>34</v>
      </c>
      <c r="F3974" t="str">
        <f>"0004264"</f>
        <v>0004264</v>
      </c>
      <c r="G3974">
        <v>1</v>
      </c>
      <c r="H3974" t="str">
        <f>"00000000"</f>
        <v>00000000</v>
      </c>
      <c r="I3974" t="s">
        <v>35</v>
      </c>
      <c r="J3974"/>
      <c r="K3974">
        <v>2.54</v>
      </c>
      <c r="L3974">
        <v>0.0</v>
      </c>
      <c r="M3974"/>
      <c r="N3974"/>
      <c r="O3974">
        <v>0.46</v>
      </c>
      <c r="P3974">
        <v>0.0</v>
      </c>
      <c r="Q3974">
        <v>3.0</v>
      </c>
      <c r="R3974"/>
      <c r="S3974"/>
      <c r="T3974"/>
      <c r="U3974"/>
      <c r="V3974"/>
      <c r="W3974">
        <v>18</v>
      </c>
    </row>
    <row r="3975" spans="1:23">
      <c r="A3975"/>
      <c r="B3975" t="s">
        <v>91</v>
      </c>
      <c r="C3975" t="s">
        <v>91</v>
      </c>
      <c r="D3975" t="s">
        <v>33</v>
      </c>
      <c r="E3975" t="s">
        <v>34</v>
      </c>
      <c r="F3975" t="str">
        <f>"0004265"</f>
        <v>0004265</v>
      </c>
      <c r="G3975">
        <v>1</v>
      </c>
      <c r="H3975" t="str">
        <f>"00000000"</f>
        <v>00000000</v>
      </c>
      <c r="I3975" t="s">
        <v>35</v>
      </c>
      <c r="J3975"/>
      <c r="K3975">
        <v>15.46</v>
      </c>
      <c r="L3975">
        <v>0.0</v>
      </c>
      <c r="M3975"/>
      <c r="N3975"/>
      <c r="O3975">
        <v>2.78</v>
      </c>
      <c r="P3975">
        <v>0.2</v>
      </c>
      <c r="Q3975">
        <v>18.45</v>
      </c>
      <c r="R3975"/>
      <c r="S3975"/>
      <c r="T3975"/>
      <c r="U3975"/>
      <c r="V3975"/>
      <c r="W3975">
        <v>18</v>
      </c>
    </row>
    <row r="3976" spans="1:23">
      <c r="A3976"/>
      <c r="B3976" t="s">
        <v>91</v>
      </c>
      <c r="C3976" t="s">
        <v>91</v>
      </c>
      <c r="D3976" t="s">
        <v>33</v>
      </c>
      <c r="E3976" t="s">
        <v>34</v>
      </c>
      <c r="F3976" t="str">
        <f>"0004266"</f>
        <v>0004266</v>
      </c>
      <c r="G3976">
        <v>1</v>
      </c>
      <c r="H3976" t="str">
        <f>"00000000"</f>
        <v>00000000</v>
      </c>
      <c r="I3976" t="s">
        <v>35</v>
      </c>
      <c r="J3976"/>
      <c r="K3976">
        <v>1.1</v>
      </c>
      <c r="L3976">
        <v>0.0</v>
      </c>
      <c r="M3976"/>
      <c r="N3976"/>
      <c r="O3976">
        <v>0.2</v>
      </c>
      <c r="P3976">
        <v>0.0</v>
      </c>
      <c r="Q3976">
        <v>1.3</v>
      </c>
      <c r="R3976"/>
      <c r="S3976"/>
      <c r="T3976"/>
      <c r="U3976"/>
      <c r="V3976"/>
      <c r="W3976">
        <v>18</v>
      </c>
    </row>
    <row r="3977" spans="1:23">
      <c r="A3977"/>
      <c r="B3977" t="s">
        <v>91</v>
      </c>
      <c r="C3977" t="s">
        <v>91</v>
      </c>
      <c r="D3977" t="s">
        <v>33</v>
      </c>
      <c r="E3977" t="s">
        <v>34</v>
      </c>
      <c r="F3977" t="str">
        <f>"0004267"</f>
        <v>0004267</v>
      </c>
      <c r="G3977">
        <v>1</v>
      </c>
      <c r="H3977" t="str">
        <f>"00000000"</f>
        <v>00000000</v>
      </c>
      <c r="I3977" t="s">
        <v>35</v>
      </c>
      <c r="J3977"/>
      <c r="K3977">
        <v>14.15</v>
      </c>
      <c r="L3977">
        <v>0.0</v>
      </c>
      <c r="M3977"/>
      <c r="N3977"/>
      <c r="O3977">
        <v>2.55</v>
      </c>
      <c r="P3977">
        <v>0.0</v>
      </c>
      <c r="Q3977">
        <v>16.7</v>
      </c>
      <c r="R3977"/>
      <c r="S3977"/>
      <c r="T3977"/>
      <c r="U3977"/>
      <c r="V3977"/>
      <c r="W3977">
        <v>18</v>
      </c>
    </row>
    <row r="3978" spans="1:23">
      <c r="A3978"/>
      <c r="B3978" t="s">
        <v>91</v>
      </c>
      <c r="C3978" t="s">
        <v>91</v>
      </c>
      <c r="D3978" t="s">
        <v>33</v>
      </c>
      <c r="E3978" t="s">
        <v>34</v>
      </c>
      <c r="F3978" t="str">
        <f>"0004268"</f>
        <v>0004268</v>
      </c>
      <c r="G3978">
        <v>1</v>
      </c>
      <c r="H3978" t="str">
        <f>"00000000"</f>
        <v>00000000</v>
      </c>
      <c r="I3978" t="s">
        <v>35</v>
      </c>
      <c r="J3978"/>
      <c r="K3978">
        <v>22.9</v>
      </c>
      <c r="L3978">
        <v>0.0</v>
      </c>
      <c r="M3978"/>
      <c r="N3978"/>
      <c r="O3978">
        <v>4.12</v>
      </c>
      <c r="P3978">
        <v>0.2</v>
      </c>
      <c r="Q3978">
        <v>27.22</v>
      </c>
      <c r="R3978"/>
      <c r="S3978"/>
      <c r="T3978"/>
      <c r="U3978"/>
      <c r="V3978"/>
      <c r="W3978">
        <v>18</v>
      </c>
    </row>
    <row r="3979" spans="1:23">
      <c r="A3979"/>
      <c r="B3979" t="s">
        <v>91</v>
      </c>
      <c r="C3979" t="s">
        <v>91</v>
      </c>
      <c r="D3979" t="s">
        <v>36</v>
      </c>
      <c r="E3979" t="s">
        <v>37</v>
      </c>
      <c r="F3979" t="str">
        <f>"0000055"</f>
        <v>0000055</v>
      </c>
      <c r="G3979">
        <v>6</v>
      </c>
      <c r="H3979" t="str">
        <f>"10166741985"</f>
        <v>10166741985</v>
      </c>
      <c r="I3979" t="s">
        <v>93</v>
      </c>
      <c r="J3979"/>
      <c r="K3979">
        <v>36.15</v>
      </c>
      <c r="L3979">
        <v>7.63</v>
      </c>
      <c r="M3979"/>
      <c r="N3979"/>
      <c r="O3979">
        <v>6.51</v>
      </c>
      <c r="P3979">
        <v>0.2</v>
      </c>
      <c r="Q3979">
        <v>50.48</v>
      </c>
      <c r="R3979"/>
      <c r="S3979"/>
      <c r="T3979"/>
      <c r="U3979"/>
      <c r="V3979"/>
      <c r="W3979">
        <v>18</v>
      </c>
    </row>
    <row r="3980" spans="1:23">
      <c r="A3980"/>
      <c r="B3980" t="s">
        <v>91</v>
      </c>
      <c r="C3980" t="s">
        <v>91</v>
      </c>
      <c r="D3980" t="s">
        <v>33</v>
      </c>
      <c r="E3980" t="s">
        <v>34</v>
      </c>
      <c r="F3980" t="str">
        <f>"0004269"</f>
        <v>0004269</v>
      </c>
      <c r="G3980">
        <v>1</v>
      </c>
      <c r="H3980" t="str">
        <f>"00000000"</f>
        <v>00000000</v>
      </c>
      <c r="I3980" t="s">
        <v>35</v>
      </c>
      <c r="J3980"/>
      <c r="K3980">
        <v>35.86</v>
      </c>
      <c r="L3980">
        <v>0.0</v>
      </c>
      <c r="M3980"/>
      <c r="N3980"/>
      <c r="O3980">
        <v>6.46</v>
      </c>
      <c r="P3980">
        <v>0.2</v>
      </c>
      <c r="Q3980">
        <v>42.52</v>
      </c>
      <c r="R3980"/>
      <c r="S3980"/>
      <c r="T3980"/>
      <c r="U3980"/>
      <c r="V3980"/>
      <c r="W3980">
        <v>18</v>
      </c>
    </row>
    <row r="3981" spans="1:23">
      <c r="A3981"/>
      <c r="B3981" t="s">
        <v>91</v>
      </c>
      <c r="C3981" t="s">
        <v>91</v>
      </c>
      <c r="D3981" t="s">
        <v>33</v>
      </c>
      <c r="E3981" t="s">
        <v>34</v>
      </c>
      <c r="F3981" t="str">
        <f>"0004270"</f>
        <v>0004270</v>
      </c>
      <c r="G3981">
        <v>1</v>
      </c>
      <c r="H3981" t="str">
        <f>"00000000"</f>
        <v>00000000</v>
      </c>
      <c r="I3981" t="s">
        <v>35</v>
      </c>
      <c r="J3981"/>
      <c r="K3981">
        <v>4.15</v>
      </c>
      <c r="L3981">
        <v>0.0</v>
      </c>
      <c r="M3981"/>
      <c r="N3981"/>
      <c r="O3981">
        <v>0.75</v>
      </c>
      <c r="P3981">
        <v>0.0</v>
      </c>
      <c r="Q3981">
        <v>4.9</v>
      </c>
      <c r="R3981"/>
      <c r="S3981"/>
      <c r="T3981"/>
      <c r="U3981"/>
      <c r="V3981"/>
      <c r="W3981">
        <v>18</v>
      </c>
    </row>
    <row r="3982" spans="1:23">
      <c r="A3982"/>
      <c r="B3982" t="s">
        <v>91</v>
      </c>
      <c r="C3982" t="s">
        <v>91</v>
      </c>
      <c r="D3982" t="s">
        <v>33</v>
      </c>
      <c r="E3982" t="s">
        <v>34</v>
      </c>
      <c r="F3982" t="str">
        <f>"0004271"</f>
        <v>0004271</v>
      </c>
      <c r="G3982">
        <v>1</v>
      </c>
      <c r="H3982" t="str">
        <f>"00000000"</f>
        <v>00000000</v>
      </c>
      <c r="I3982" t="s">
        <v>35</v>
      </c>
      <c r="J3982"/>
      <c r="K3982">
        <v>2.03</v>
      </c>
      <c r="L3982">
        <v>0.0</v>
      </c>
      <c r="M3982"/>
      <c r="N3982"/>
      <c r="O3982">
        <v>0.37</v>
      </c>
      <c r="P3982">
        <v>0.0</v>
      </c>
      <c r="Q3982">
        <v>2.4</v>
      </c>
      <c r="R3982"/>
      <c r="S3982"/>
      <c r="T3982"/>
      <c r="U3982"/>
      <c r="V3982"/>
      <c r="W3982">
        <v>18</v>
      </c>
    </row>
    <row r="3983" spans="1:23">
      <c r="A3983"/>
      <c r="B3983" t="s">
        <v>91</v>
      </c>
      <c r="C3983" t="s">
        <v>91</v>
      </c>
      <c r="D3983" t="s">
        <v>33</v>
      </c>
      <c r="E3983" t="s">
        <v>34</v>
      </c>
      <c r="F3983" t="str">
        <f>"0004272"</f>
        <v>0004272</v>
      </c>
      <c r="G3983">
        <v>1</v>
      </c>
      <c r="H3983" t="str">
        <f>"00000000"</f>
        <v>00000000</v>
      </c>
      <c r="I3983" t="s">
        <v>35</v>
      </c>
      <c r="J3983"/>
      <c r="K3983">
        <v>13.04</v>
      </c>
      <c r="L3983">
        <v>0.0</v>
      </c>
      <c r="M3983"/>
      <c r="N3983"/>
      <c r="O3983">
        <v>2.35</v>
      </c>
      <c r="P3983">
        <v>0.0</v>
      </c>
      <c r="Q3983">
        <v>15.39</v>
      </c>
      <c r="R3983"/>
      <c r="S3983"/>
      <c r="T3983"/>
      <c r="U3983"/>
      <c r="V3983"/>
      <c r="W3983">
        <v>18</v>
      </c>
    </row>
    <row r="3984" spans="1:23">
      <c r="A3984"/>
      <c r="B3984" t="s">
        <v>91</v>
      </c>
      <c r="C3984" t="s">
        <v>91</v>
      </c>
      <c r="D3984" t="s">
        <v>33</v>
      </c>
      <c r="E3984" t="s">
        <v>34</v>
      </c>
      <c r="F3984" t="str">
        <f>"0004273"</f>
        <v>0004273</v>
      </c>
      <c r="G3984">
        <v>1</v>
      </c>
      <c r="H3984" t="str">
        <f>"00000000"</f>
        <v>00000000</v>
      </c>
      <c r="I3984" t="s">
        <v>35</v>
      </c>
      <c r="J3984"/>
      <c r="K3984">
        <v>0.02</v>
      </c>
      <c r="L3984">
        <v>0.0</v>
      </c>
      <c r="M3984"/>
      <c r="N3984"/>
      <c r="O3984">
        <v>0.0</v>
      </c>
      <c r="P3984">
        <v>0.2</v>
      </c>
      <c r="Q3984">
        <v>0.22</v>
      </c>
      <c r="R3984"/>
      <c r="S3984"/>
      <c r="T3984"/>
      <c r="U3984"/>
      <c r="V3984"/>
      <c r="W3984">
        <v>18</v>
      </c>
    </row>
    <row r="3985" spans="1:23">
      <c r="A3985"/>
      <c r="B3985" t="s">
        <v>91</v>
      </c>
      <c r="C3985" t="s">
        <v>91</v>
      </c>
      <c r="D3985" t="s">
        <v>33</v>
      </c>
      <c r="E3985" t="s">
        <v>34</v>
      </c>
      <c r="F3985" t="str">
        <f>"0004274"</f>
        <v>0004274</v>
      </c>
      <c r="G3985">
        <v>1</v>
      </c>
      <c r="H3985" t="str">
        <f>"00000000"</f>
        <v>00000000</v>
      </c>
      <c r="I3985" t="s">
        <v>35</v>
      </c>
      <c r="J3985"/>
      <c r="K3985">
        <v>12.63</v>
      </c>
      <c r="L3985">
        <v>0.0</v>
      </c>
      <c r="M3985"/>
      <c r="N3985"/>
      <c r="O3985">
        <v>2.27</v>
      </c>
      <c r="P3985">
        <v>0.0</v>
      </c>
      <c r="Q3985">
        <v>14.9</v>
      </c>
      <c r="R3985"/>
      <c r="S3985"/>
      <c r="T3985"/>
      <c r="U3985"/>
      <c r="V3985"/>
      <c r="W3985">
        <v>18</v>
      </c>
    </row>
    <row r="3986" spans="1:23">
      <c r="A3986"/>
      <c r="B3986" t="s">
        <v>91</v>
      </c>
      <c r="C3986" t="s">
        <v>91</v>
      </c>
      <c r="D3986" t="s">
        <v>33</v>
      </c>
      <c r="E3986" t="s">
        <v>34</v>
      </c>
      <c r="F3986" t="str">
        <f>"0004275"</f>
        <v>0004275</v>
      </c>
      <c r="G3986">
        <v>1</v>
      </c>
      <c r="H3986" t="str">
        <f>"00000000"</f>
        <v>00000000</v>
      </c>
      <c r="I3986" t="s">
        <v>35</v>
      </c>
      <c r="J3986"/>
      <c r="K3986">
        <v>0.0</v>
      </c>
      <c r="L3986">
        <v>15.19</v>
      </c>
      <c r="M3986"/>
      <c r="N3986"/>
      <c r="O3986">
        <v>0.0</v>
      </c>
      <c r="P3986">
        <v>0.0</v>
      </c>
      <c r="Q3986">
        <v>15.19</v>
      </c>
      <c r="R3986"/>
      <c r="S3986"/>
      <c r="T3986"/>
      <c r="U3986"/>
      <c r="V3986"/>
      <c r="W3986">
        <v>18</v>
      </c>
    </row>
    <row r="3987" spans="1:23">
      <c r="A3987"/>
      <c r="B3987" t="s">
        <v>91</v>
      </c>
      <c r="C3987" t="s">
        <v>91</v>
      </c>
      <c r="D3987" t="s">
        <v>33</v>
      </c>
      <c r="E3987" t="s">
        <v>34</v>
      </c>
      <c r="F3987" t="str">
        <f>"0004276"</f>
        <v>0004276</v>
      </c>
      <c r="G3987">
        <v>1</v>
      </c>
      <c r="H3987" t="str">
        <f>"00000000"</f>
        <v>00000000</v>
      </c>
      <c r="I3987" t="s">
        <v>35</v>
      </c>
      <c r="J3987"/>
      <c r="K3987">
        <v>48.81</v>
      </c>
      <c r="L3987">
        <v>43.0</v>
      </c>
      <c r="M3987"/>
      <c r="N3987"/>
      <c r="O3987">
        <v>8.79</v>
      </c>
      <c r="P3987">
        <v>0.0</v>
      </c>
      <c r="Q3987">
        <v>100.6</v>
      </c>
      <c r="R3987"/>
      <c r="S3987"/>
      <c r="T3987"/>
      <c r="U3987"/>
      <c r="V3987"/>
      <c r="W3987">
        <v>18</v>
      </c>
    </row>
    <row r="3988" spans="1:23">
      <c r="A3988"/>
      <c r="B3988" t="s">
        <v>91</v>
      </c>
      <c r="C3988" t="s">
        <v>91</v>
      </c>
      <c r="D3988" t="s">
        <v>33</v>
      </c>
      <c r="E3988" t="s">
        <v>34</v>
      </c>
      <c r="F3988" t="str">
        <f>"0004277"</f>
        <v>0004277</v>
      </c>
      <c r="G3988">
        <v>1</v>
      </c>
      <c r="H3988" t="str">
        <f>"00000000"</f>
        <v>00000000</v>
      </c>
      <c r="I3988" t="s">
        <v>35</v>
      </c>
      <c r="J3988"/>
      <c r="K3988">
        <v>49.85</v>
      </c>
      <c r="L3988">
        <v>0.0</v>
      </c>
      <c r="M3988"/>
      <c r="N3988"/>
      <c r="O3988">
        <v>8.97</v>
      </c>
      <c r="P3988">
        <v>0.2</v>
      </c>
      <c r="Q3988">
        <v>59.02</v>
      </c>
      <c r="R3988"/>
      <c r="S3988"/>
      <c r="T3988"/>
      <c r="U3988"/>
      <c r="V3988"/>
      <c r="W3988">
        <v>18</v>
      </c>
    </row>
    <row r="3989" spans="1:23">
      <c r="A3989"/>
      <c r="B3989" t="s">
        <v>91</v>
      </c>
      <c r="C3989" t="s">
        <v>91</v>
      </c>
      <c r="D3989" t="s">
        <v>33</v>
      </c>
      <c r="E3989" t="s">
        <v>34</v>
      </c>
      <c r="F3989" t="str">
        <f>"0004278"</f>
        <v>0004278</v>
      </c>
      <c r="G3989">
        <v>1</v>
      </c>
      <c r="H3989" t="str">
        <f>"00000000"</f>
        <v>00000000</v>
      </c>
      <c r="I3989" t="s">
        <v>35</v>
      </c>
      <c r="J3989"/>
      <c r="K3989">
        <v>10.69</v>
      </c>
      <c r="L3989">
        <v>0.0</v>
      </c>
      <c r="M3989"/>
      <c r="N3989"/>
      <c r="O3989">
        <v>1.93</v>
      </c>
      <c r="P3989">
        <v>0.2</v>
      </c>
      <c r="Q3989">
        <v>12.82</v>
      </c>
      <c r="R3989"/>
      <c r="S3989"/>
      <c r="T3989"/>
      <c r="U3989"/>
      <c r="V3989"/>
      <c r="W3989">
        <v>18</v>
      </c>
    </row>
    <row r="3990" spans="1:23">
      <c r="A3990"/>
      <c r="B3990" t="s">
        <v>91</v>
      </c>
      <c r="C3990" t="s">
        <v>91</v>
      </c>
      <c r="D3990" t="s">
        <v>33</v>
      </c>
      <c r="E3990" t="s">
        <v>34</v>
      </c>
      <c r="F3990" t="str">
        <f>"0004279"</f>
        <v>0004279</v>
      </c>
      <c r="G3990">
        <v>1</v>
      </c>
      <c r="H3990" t="str">
        <f>"00000000"</f>
        <v>00000000</v>
      </c>
      <c r="I3990" t="s">
        <v>35</v>
      </c>
      <c r="J3990"/>
      <c r="K3990">
        <v>13.99</v>
      </c>
      <c r="L3990">
        <v>0.0</v>
      </c>
      <c r="M3990"/>
      <c r="N3990"/>
      <c r="O3990">
        <v>2.52</v>
      </c>
      <c r="P3990">
        <v>0.2</v>
      </c>
      <c r="Q3990">
        <v>16.71</v>
      </c>
      <c r="R3990"/>
      <c r="S3990"/>
      <c r="T3990"/>
      <c r="U3990"/>
      <c r="V3990"/>
      <c r="W3990">
        <v>18</v>
      </c>
    </row>
    <row r="3991" spans="1:23">
      <c r="A3991"/>
      <c r="B3991" t="s">
        <v>91</v>
      </c>
      <c r="C3991" t="s">
        <v>91</v>
      </c>
      <c r="D3991" t="s">
        <v>33</v>
      </c>
      <c r="E3991" t="s">
        <v>34</v>
      </c>
      <c r="F3991" t="str">
        <f>"0004280"</f>
        <v>0004280</v>
      </c>
      <c r="G3991">
        <v>1</v>
      </c>
      <c r="H3991" t="str">
        <f>"00000000"</f>
        <v>00000000</v>
      </c>
      <c r="I3991" t="s">
        <v>35</v>
      </c>
      <c r="J3991"/>
      <c r="K3991">
        <v>33.36</v>
      </c>
      <c r="L3991">
        <v>4.21</v>
      </c>
      <c r="M3991"/>
      <c r="N3991"/>
      <c r="O3991">
        <v>6.01</v>
      </c>
      <c r="P3991">
        <v>0.2</v>
      </c>
      <c r="Q3991">
        <v>43.78</v>
      </c>
      <c r="R3991"/>
      <c r="S3991"/>
      <c r="T3991"/>
      <c r="U3991"/>
      <c r="V3991"/>
      <c r="W3991">
        <v>18</v>
      </c>
    </row>
    <row r="3992" spans="1:23">
      <c r="A3992"/>
      <c r="B3992" t="s">
        <v>91</v>
      </c>
      <c r="C3992" t="s">
        <v>91</v>
      </c>
      <c r="D3992" t="s">
        <v>33</v>
      </c>
      <c r="E3992" t="s">
        <v>34</v>
      </c>
      <c r="F3992" t="str">
        <f>"0004281"</f>
        <v>0004281</v>
      </c>
      <c r="G3992">
        <v>1</v>
      </c>
      <c r="H3992" t="str">
        <f>"00000000"</f>
        <v>00000000</v>
      </c>
      <c r="I3992" t="s">
        <v>35</v>
      </c>
      <c r="J3992"/>
      <c r="K3992">
        <v>2.37</v>
      </c>
      <c r="L3992">
        <v>0.0</v>
      </c>
      <c r="M3992"/>
      <c r="N3992"/>
      <c r="O3992">
        <v>0.43</v>
      </c>
      <c r="P3992">
        <v>0.0</v>
      </c>
      <c r="Q3992">
        <v>2.8</v>
      </c>
      <c r="R3992"/>
      <c r="S3992"/>
      <c r="T3992"/>
      <c r="U3992"/>
      <c r="V3992"/>
      <c r="W3992">
        <v>18</v>
      </c>
    </row>
    <row r="3993" spans="1:23">
      <c r="A3993"/>
      <c r="B3993" t="s">
        <v>91</v>
      </c>
      <c r="C3993" t="s">
        <v>91</v>
      </c>
      <c r="D3993" t="s">
        <v>33</v>
      </c>
      <c r="E3993" t="s">
        <v>34</v>
      </c>
      <c r="F3993" t="str">
        <f>"0004282"</f>
        <v>0004282</v>
      </c>
      <c r="G3993">
        <v>1</v>
      </c>
      <c r="H3993" t="str">
        <f>"00000000"</f>
        <v>00000000</v>
      </c>
      <c r="I3993" t="s">
        <v>35</v>
      </c>
      <c r="J3993"/>
      <c r="K3993">
        <v>4.24</v>
      </c>
      <c r="L3993">
        <v>0.0</v>
      </c>
      <c r="M3993"/>
      <c r="N3993"/>
      <c r="O3993">
        <v>0.76</v>
      </c>
      <c r="P3993">
        <v>0.0</v>
      </c>
      <c r="Q3993">
        <v>5.0</v>
      </c>
      <c r="R3993"/>
      <c r="S3993"/>
      <c r="T3993"/>
      <c r="U3993"/>
      <c r="V3993"/>
      <c r="W3993">
        <v>18</v>
      </c>
    </row>
    <row r="3994" spans="1:23">
      <c r="A3994"/>
      <c r="B3994" t="s">
        <v>91</v>
      </c>
      <c r="C3994" t="s">
        <v>91</v>
      </c>
      <c r="D3994" t="s">
        <v>33</v>
      </c>
      <c r="E3994" t="s">
        <v>34</v>
      </c>
      <c r="F3994" t="str">
        <f>"0004283"</f>
        <v>0004283</v>
      </c>
      <c r="G3994">
        <v>1</v>
      </c>
      <c r="H3994" t="str">
        <f>"00000000"</f>
        <v>00000000</v>
      </c>
      <c r="I3994" t="s">
        <v>35</v>
      </c>
      <c r="J3994"/>
      <c r="K3994">
        <v>4.15</v>
      </c>
      <c r="L3994">
        <v>0.0</v>
      </c>
      <c r="M3994"/>
      <c r="N3994"/>
      <c r="O3994">
        <v>0.75</v>
      </c>
      <c r="P3994">
        <v>0.0</v>
      </c>
      <c r="Q3994">
        <v>4.9</v>
      </c>
      <c r="R3994"/>
      <c r="S3994"/>
      <c r="T3994"/>
      <c r="U3994"/>
      <c r="V3994"/>
      <c r="W3994">
        <v>18</v>
      </c>
    </row>
    <row r="3995" spans="1:23">
      <c r="A3995"/>
      <c r="B3995" t="s">
        <v>91</v>
      </c>
      <c r="C3995" t="s">
        <v>91</v>
      </c>
      <c r="D3995" t="s">
        <v>33</v>
      </c>
      <c r="E3995" t="s">
        <v>34</v>
      </c>
      <c r="F3995" t="str">
        <f>"0004284"</f>
        <v>0004284</v>
      </c>
      <c r="G3995">
        <v>1</v>
      </c>
      <c r="H3995" t="str">
        <f>"00000000"</f>
        <v>00000000</v>
      </c>
      <c r="I3995" t="s">
        <v>35</v>
      </c>
      <c r="J3995"/>
      <c r="K3995">
        <v>0.02</v>
      </c>
      <c r="L3995">
        <v>0.0</v>
      </c>
      <c r="M3995"/>
      <c r="N3995"/>
      <c r="O3995">
        <v>0.0</v>
      </c>
      <c r="P3995">
        <v>0.2</v>
      </c>
      <c r="Q3995">
        <v>0.22</v>
      </c>
      <c r="R3995"/>
      <c r="S3995"/>
      <c r="T3995"/>
      <c r="U3995"/>
      <c r="V3995"/>
      <c r="W3995">
        <v>18</v>
      </c>
    </row>
    <row r="3996" spans="1:23">
      <c r="A3996"/>
      <c r="B3996" t="s">
        <v>91</v>
      </c>
      <c r="C3996" t="s">
        <v>91</v>
      </c>
      <c r="D3996" t="s">
        <v>33</v>
      </c>
      <c r="E3996" t="s">
        <v>34</v>
      </c>
      <c r="F3996" t="str">
        <f>"0004285"</f>
        <v>0004285</v>
      </c>
      <c r="G3996">
        <v>1</v>
      </c>
      <c r="H3996" t="str">
        <f>"00000000"</f>
        <v>00000000</v>
      </c>
      <c r="I3996" t="s">
        <v>35</v>
      </c>
      <c r="J3996"/>
      <c r="K3996">
        <v>6.52</v>
      </c>
      <c r="L3996">
        <v>0.0</v>
      </c>
      <c r="M3996"/>
      <c r="N3996"/>
      <c r="O3996">
        <v>1.17</v>
      </c>
      <c r="P3996">
        <v>0.0</v>
      </c>
      <c r="Q3996">
        <v>7.69</v>
      </c>
      <c r="R3996"/>
      <c r="S3996"/>
      <c r="T3996"/>
      <c r="U3996"/>
      <c r="V3996"/>
      <c r="W3996">
        <v>18</v>
      </c>
    </row>
    <row r="3997" spans="1:23">
      <c r="A3997"/>
      <c r="B3997" t="s">
        <v>91</v>
      </c>
      <c r="C3997" t="s">
        <v>91</v>
      </c>
      <c r="D3997" t="s">
        <v>33</v>
      </c>
      <c r="E3997" t="s">
        <v>34</v>
      </c>
      <c r="F3997" t="str">
        <f>"0004286"</f>
        <v>0004286</v>
      </c>
      <c r="G3997">
        <v>1</v>
      </c>
      <c r="H3997" t="str">
        <f>"00000000"</f>
        <v>00000000</v>
      </c>
      <c r="I3997" t="s">
        <v>35</v>
      </c>
      <c r="J3997"/>
      <c r="K3997">
        <v>10.02</v>
      </c>
      <c r="L3997">
        <v>0.0</v>
      </c>
      <c r="M3997"/>
      <c r="N3997"/>
      <c r="O3997">
        <v>1.8</v>
      </c>
      <c r="P3997">
        <v>0.2</v>
      </c>
      <c r="Q3997">
        <v>12.02</v>
      </c>
      <c r="R3997"/>
      <c r="S3997"/>
      <c r="T3997"/>
      <c r="U3997"/>
      <c r="V3997"/>
      <c r="W3997">
        <v>18</v>
      </c>
    </row>
    <row r="3998" spans="1:23">
      <c r="A3998"/>
      <c r="B3998" t="s">
        <v>91</v>
      </c>
      <c r="C3998" t="s">
        <v>91</v>
      </c>
      <c r="D3998" t="s">
        <v>33</v>
      </c>
      <c r="E3998" t="s">
        <v>34</v>
      </c>
      <c r="F3998" t="str">
        <f>"0004287"</f>
        <v>0004287</v>
      </c>
      <c r="G3998">
        <v>1</v>
      </c>
      <c r="H3998" t="str">
        <f>"00000000"</f>
        <v>00000000</v>
      </c>
      <c r="I3998" t="s">
        <v>35</v>
      </c>
      <c r="J3998"/>
      <c r="K3998">
        <v>4.24</v>
      </c>
      <c r="L3998">
        <v>0.0</v>
      </c>
      <c r="M3998"/>
      <c r="N3998"/>
      <c r="O3998">
        <v>0.76</v>
      </c>
      <c r="P3998">
        <v>0.0</v>
      </c>
      <c r="Q3998">
        <v>5.0</v>
      </c>
      <c r="R3998"/>
      <c r="S3998"/>
      <c r="T3998"/>
      <c r="U3998"/>
      <c r="V3998"/>
      <c r="W3998">
        <v>18</v>
      </c>
    </row>
    <row r="3999" spans="1:23">
      <c r="A3999"/>
      <c r="B3999" t="s">
        <v>91</v>
      </c>
      <c r="C3999" t="s">
        <v>91</v>
      </c>
      <c r="D3999" t="s">
        <v>33</v>
      </c>
      <c r="E3999" t="s">
        <v>34</v>
      </c>
      <c r="F3999" t="str">
        <f>"0004288"</f>
        <v>0004288</v>
      </c>
      <c r="G3999">
        <v>1</v>
      </c>
      <c r="H3999" t="str">
        <f>"00000000"</f>
        <v>00000000</v>
      </c>
      <c r="I3999" t="s">
        <v>35</v>
      </c>
      <c r="J3999"/>
      <c r="K3999">
        <v>14.63</v>
      </c>
      <c r="L3999">
        <v>13.23</v>
      </c>
      <c r="M3999"/>
      <c r="N3999"/>
      <c r="O3999">
        <v>2.63</v>
      </c>
      <c r="P3999">
        <v>0.2</v>
      </c>
      <c r="Q3999">
        <v>30.69</v>
      </c>
      <c r="R3999"/>
      <c r="S3999"/>
      <c r="T3999"/>
      <c r="U3999"/>
      <c r="V3999"/>
      <c r="W3999">
        <v>18</v>
      </c>
    </row>
    <row r="4000" spans="1:23">
      <c r="A4000"/>
      <c r="B4000" t="s">
        <v>91</v>
      </c>
      <c r="C4000" t="s">
        <v>91</v>
      </c>
      <c r="D4000" t="s">
        <v>33</v>
      </c>
      <c r="E4000" t="s">
        <v>34</v>
      </c>
      <c r="F4000" t="str">
        <f>"0004289"</f>
        <v>0004289</v>
      </c>
      <c r="G4000">
        <v>1</v>
      </c>
      <c r="H4000" t="str">
        <f>"00000000"</f>
        <v>00000000</v>
      </c>
      <c r="I4000" t="s">
        <v>35</v>
      </c>
      <c r="J4000"/>
      <c r="K4000">
        <v>19.93</v>
      </c>
      <c r="L4000">
        <v>0.0</v>
      </c>
      <c r="M4000"/>
      <c r="N4000"/>
      <c r="O4000">
        <v>3.59</v>
      </c>
      <c r="P4000">
        <v>0.2</v>
      </c>
      <c r="Q4000">
        <v>23.72</v>
      </c>
      <c r="R4000"/>
      <c r="S4000"/>
      <c r="T4000"/>
      <c r="U4000"/>
      <c r="V4000"/>
      <c r="W4000">
        <v>18</v>
      </c>
    </row>
    <row r="4001" spans="1:23">
      <c r="A4001"/>
      <c r="B4001" t="s">
        <v>91</v>
      </c>
      <c r="C4001" t="s">
        <v>91</v>
      </c>
      <c r="D4001" t="s">
        <v>33</v>
      </c>
      <c r="E4001" t="s">
        <v>34</v>
      </c>
      <c r="F4001" t="str">
        <f>"0004290"</f>
        <v>0004290</v>
      </c>
      <c r="G4001">
        <v>1</v>
      </c>
      <c r="H4001" t="str">
        <f>"00000000"</f>
        <v>00000000</v>
      </c>
      <c r="I4001" t="s">
        <v>35</v>
      </c>
      <c r="J4001"/>
      <c r="K4001">
        <v>9.24</v>
      </c>
      <c r="L4001">
        <v>0.0</v>
      </c>
      <c r="M4001"/>
      <c r="N4001"/>
      <c r="O4001">
        <v>1.66</v>
      </c>
      <c r="P4001">
        <v>0.0</v>
      </c>
      <c r="Q4001">
        <v>10.9</v>
      </c>
      <c r="R4001"/>
      <c r="S4001"/>
      <c r="T4001"/>
      <c r="U4001"/>
      <c r="V4001"/>
      <c r="W4001">
        <v>18</v>
      </c>
    </row>
    <row r="4002" spans="1:23">
      <c r="A4002"/>
      <c r="B4002" t="s">
        <v>91</v>
      </c>
      <c r="C4002" t="s">
        <v>91</v>
      </c>
      <c r="D4002" t="s">
        <v>33</v>
      </c>
      <c r="E4002" t="s">
        <v>34</v>
      </c>
      <c r="F4002" t="str">
        <f>"0004291"</f>
        <v>0004291</v>
      </c>
      <c r="G4002">
        <v>1</v>
      </c>
      <c r="H4002" t="str">
        <f>"00000000"</f>
        <v>00000000</v>
      </c>
      <c r="I4002" t="s">
        <v>35</v>
      </c>
      <c r="J4002"/>
      <c r="K4002">
        <v>1.69</v>
      </c>
      <c r="L4002">
        <v>0.0</v>
      </c>
      <c r="M4002"/>
      <c r="N4002"/>
      <c r="O4002">
        <v>0.31</v>
      </c>
      <c r="P4002">
        <v>0.0</v>
      </c>
      <c r="Q4002">
        <v>2.0</v>
      </c>
      <c r="R4002"/>
      <c r="S4002"/>
      <c r="T4002"/>
      <c r="U4002"/>
      <c r="V4002"/>
      <c r="W4002">
        <v>18</v>
      </c>
    </row>
    <row r="4003" spans="1:23">
      <c r="A4003"/>
      <c r="B4003" t="s">
        <v>91</v>
      </c>
      <c r="C4003" t="s">
        <v>91</v>
      </c>
      <c r="D4003" t="s">
        <v>33</v>
      </c>
      <c r="E4003" t="s">
        <v>34</v>
      </c>
      <c r="F4003" t="str">
        <f>"0004292"</f>
        <v>0004292</v>
      </c>
      <c r="G4003">
        <v>1</v>
      </c>
      <c r="H4003" t="str">
        <f>"00000000"</f>
        <v>00000000</v>
      </c>
      <c r="I4003" t="s">
        <v>35</v>
      </c>
      <c r="J4003"/>
      <c r="K4003">
        <v>6.33</v>
      </c>
      <c r="L4003">
        <v>0.0</v>
      </c>
      <c r="M4003"/>
      <c r="N4003"/>
      <c r="O4003">
        <v>1.14</v>
      </c>
      <c r="P4003">
        <v>0.0</v>
      </c>
      <c r="Q4003">
        <v>7.47</v>
      </c>
      <c r="R4003"/>
      <c r="S4003"/>
      <c r="T4003"/>
      <c r="U4003"/>
      <c r="V4003"/>
      <c r="W4003">
        <v>18</v>
      </c>
    </row>
    <row r="4004" spans="1:23">
      <c r="A4004"/>
      <c r="B4004" t="s">
        <v>91</v>
      </c>
      <c r="C4004" t="s">
        <v>91</v>
      </c>
      <c r="D4004" t="s">
        <v>33</v>
      </c>
      <c r="E4004" t="s">
        <v>34</v>
      </c>
      <c r="F4004" t="str">
        <f>"0004293"</f>
        <v>0004293</v>
      </c>
      <c r="G4004">
        <v>1</v>
      </c>
      <c r="H4004" t="str">
        <f>"00000000"</f>
        <v>00000000</v>
      </c>
      <c r="I4004" t="s">
        <v>35</v>
      </c>
      <c r="J4004"/>
      <c r="K4004">
        <v>13.18</v>
      </c>
      <c r="L4004">
        <v>0.0</v>
      </c>
      <c r="M4004"/>
      <c r="N4004"/>
      <c r="O4004">
        <v>2.37</v>
      </c>
      <c r="P4004">
        <v>0.2</v>
      </c>
      <c r="Q4004">
        <v>15.75</v>
      </c>
      <c r="R4004"/>
      <c r="S4004"/>
      <c r="T4004"/>
      <c r="U4004"/>
      <c r="V4004"/>
      <c r="W4004">
        <v>18</v>
      </c>
    </row>
    <row r="4005" spans="1:23">
      <c r="A4005"/>
      <c r="B4005" t="s">
        <v>91</v>
      </c>
      <c r="C4005" t="s">
        <v>91</v>
      </c>
      <c r="D4005" t="s">
        <v>33</v>
      </c>
      <c r="E4005" t="s">
        <v>34</v>
      </c>
      <c r="F4005" t="str">
        <f>"0004294"</f>
        <v>0004294</v>
      </c>
      <c r="G4005">
        <v>1</v>
      </c>
      <c r="H4005" t="str">
        <f>"00000000"</f>
        <v>00000000</v>
      </c>
      <c r="I4005" t="s">
        <v>35</v>
      </c>
      <c r="J4005"/>
      <c r="K4005">
        <v>18.43</v>
      </c>
      <c r="L4005">
        <v>0.0</v>
      </c>
      <c r="M4005"/>
      <c r="N4005"/>
      <c r="O4005">
        <v>3.32</v>
      </c>
      <c r="P4005">
        <v>0.2</v>
      </c>
      <c r="Q4005">
        <v>21.95</v>
      </c>
      <c r="R4005"/>
      <c r="S4005"/>
      <c r="T4005"/>
      <c r="U4005"/>
      <c r="V4005"/>
      <c r="W4005">
        <v>18</v>
      </c>
    </row>
    <row r="4006" spans="1:23">
      <c r="A4006"/>
      <c r="B4006" t="s">
        <v>91</v>
      </c>
      <c r="C4006" t="s">
        <v>91</v>
      </c>
      <c r="D4006" t="s">
        <v>33</v>
      </c>
      <c r="E4006" t="s">
        <v>34</v>
      </c>
      <c r="F4006" t="str">
        <f>"0004295"</f>
        <v>0004295</v>
      </c>
      <c r="G4006">
        <v>1</v>
      </c>
      <c r="H4006" t="str">
        <f>"00000000"</f>
        <v>00000000</v>
      </c>
      <c r="I4006" t="s">
        <v>35</v>
      </c>
      <c r="J4006"/>
      <c r="K4006">
        <v>6.78</v>
      </c>
      <c r="L4006">
        <v>0.0</v>
      </c>
      <c r="M4006"/>
      <c r="N4006"/>
      <c r="O4006">
        <v>1.22</v>
      </c>
      <c r="P4006">
        <v>0.0</v>
      </c>
      <c r="Q4006">
        <v>8.0</v>
      </c>
      <c r="R4006"/>
      <c r="S4006"/>
      <c r="T4006"/>
      <c r="U4006"/>
      <c r="V4006"/>
      <c r="W4006">
        <v>18</v>
      </c>
    </row>
    <row r="4007" spans="1:23">
      <c r="A4007"/>
      <c r="B4007" t="s">
        <v>91</v>
      </c>
      <c r="C4007" t="s">
        <v>91</v>
      </c>
      <c r="D4007" t="s">
        <v>33</v>
      </c>
      <c r="E4007" t="s">
        <v>34</v>
      </c>
      <c r="F4007" t="str">
        <f>"0004296"</f>
        <v>0004296</v>
      </c>
      <c r="G4007">
        <v>1</v>
      </c>
      <c r="H4007" t="str">
        <f>"00000000"</f>
        <v>00000000</v>
      </c>
      <c r="I4007" t="s">
        <v>35</v>
      </c>
      <c r="J4007"/>
      <c r="K4007">
        <v>9.22</v>
      </c>
      <c r="L4007">
        <v>0.0</v>
      </c>
      <c r="M4007"/>
      <c r="N4007"/>
      <c r="O4007">
        <v>1.66</v>
      </c>
      <c r="P4007">
        <v>0.0</v>
      </c>
      <c r="Q4007">
        <v>10.88</v>
      </c>
      <c r="R4007"/>
      <c r="S4007"/>
      <c r="T4007"/>
      <c r="U4007"/>
      <c r="V4007"/>
      <c r="W4007">
        <v>18</v>
      </c>
    </row>
    <row r="4008" spans="1:23">
      <c r="A4008"/>
      <c r="B4008" t="s">
        <v>91</v>
      </c>
      <c r="C4008" t="s">
        <v>91</v>
      </c>
      <c r="D4008" t="s">
        <v>33</v>
      </c>
      <c r="E4008" t="s">
        <v>34</v>
      </c>
      <c r="F4008" t="str">
        <f>"0004297"</f>
        <v>0004297</v>
      </c>
      <c r="G4008">
        <v>1</v>
      </c>
      <c r="H4008" t="str">
        <f>"00000000"</f>
        <v>00000000</v>
      </c>
      <c r="I4008" t="s">
        <v>35</v>
      </c>
      <c r="J4008"/>
      <c r="K4008">
        <v>9.83</v>
      </c>
      <c r="L4008">
        <v>6.37</v>
      </c>
      <c r="M4008"/>
      <c r="N4008"/>
      <c r="O4008">
        <v>1.77</v>
      </c>
      <c r="P4008">
        <v>0.2</v>
      </c>
      <c r="Q4008">
        <v>18.16</v>
      </c>
      <c r="R4008"/>
      <c r="S4008"/>
      <c r="T4008"/>
      <c r="U4008"/>
      <c r="V4008"/>
      <c r="W4008">
        <v>18</v>
      </c>
    </row>
    <row r="4009" spans="1:23">
      <c r="A4009"/>
      <c r="B4009" t="s">
        <v>91</v>
      </c>
      <c r="C4009" t="s">
        <v>91</v>
      </c>
      <c r="D4009" t="s">
        <v>33</v>
      </c>
      <c r="E4009" t="s">
        <v>34</v>
      </c>
      <c r="F4009" t="str">
        <f>"0004298"</f>
        <v>0004298</v>
      </c>
      <c r="G4009">
        <v>1</v>
      </c>
      <c r="H4009" t="str">
        <f>"00000000"</f>
        <v>00000000</v>
      </c>
      <c r="I4009" t="s">
        <v>35</v>
      </c>
      <c r="J4009"/>
      <c r="K4009">
        <v>8.55</v>
      </c>
      <c r="L4009">
        <v>2.77</v>
      </c>
      <c r="M4009"/>
      <c r="N4009"/>
      <c r="O4009">
        <v>1.54</v>
      </c>
      <c r="P4009">
        <v>0.2</v>
      </c>
      <c r="Q4009">
        <v>13.06</v>
      </c>
      <c r="R4009"/>
      <c r="S4009"/>
      <c r="T4009"/>
      <c r="U4009"/>
      <c r="V4009"/>
      <c r="W4009">
        <v>18</v>
      </c>
    </row>
    <row r="4010" spans="1:23">
      <c r="A4010"/>
      <c r="B4010" t="s">
        <v>91</v>
      </c>
      <c r="C4010" t="s">
        <v>91</v>
      </c>
      <c r="D4010" t="s">
        <v>33</v>
      </c>
      <c r="E4010" t="s">
        <v>34</v>
      </c>
      <c r="F4010" t="str">
        <f>"0004299"</f>
        <v>0004299</v>
      </c>
      <c r="G4010">
        <v>1</v>
      </c>
      <c r="H4010" t="str">
        <f>"00000000"</f>
        <v>00000000</v>
      </c>
      <c r="I4010" t="s">
        <v>35</v>
      </c>
      <c r="J4010"/>
      <c r="K4010">
        <v>7.86</v>
      </c>
      <c r="L4010">
        <v>10.39</v>
      </c>
      <c r="M4010"/>
      <c r="N4010"/>
      <c r="O4010">
        <v>1.41</v>
      </c>
      <c r="P4010">
        <v>0.2</v>
      </c>
      <c r="Q4010">
        <v>19.86</v>
      </c>
      <c r="R4010"/>
      <c r="S4010"/>
      <c r="T4010"/>
      <c r="U4010"/>
      <c r="V4010"/>
      <c r="W4010">
        <v>18</v>
      </c>
    </row>
    <row r="4011" spans="1:23">
      <c r="A4011"/>
      <c r="B4011" t="s">
        <v>91</v>
      </c>
      <c r="C4011" t="s">
        <v>91</v>
      </c>
      <c r="D4011" t="s">
        <v>36</v>
      </c>
      <c r="E4011" t="s">
        <v>37</v>
      </c>
      <c r="F4011" t="str">
        <f>"0000056"</f>
        <v>0000056</v>
      </c>
      <c r="G4011">
        <v>6</v>
      </c>
      <c r="H4011" t="str">
        <f>"20604116270"</f>
        <v>20604116270</v>
      </c>
      <c r="I4011" t="s">
        <v>94</v>
      </c>
      <c r="J4011"/>
      <c r="K4011">
        <v>233.05</v>
      </c>
      <c r="L4011">
        <v>0.0</v>
      </c>
      <c r="M4011"/>
      <c r="N4011"/>
      <c r="O4011">
        <v>41.95</v>
      </c>
      <c r="P4011">
        <v>1.0</v>
      </c>
      <c r="Q4011">
        <v>276.0</v>
      </c>
      <c r="R4011"/>
      <c r="S4011"/>
      <c r="T4011"/>
      <c r="U4011"/>
      <c r="V4011"/>
      <c r="W4011">
        <v>18</v>
      </c>
    </row>
    <row r="4012" spans="1:23">
      <c r="A4012"/>
      <c r="B4012" t="s">
        <v>91</v>
      </c>
      <c r="C4012" t="s">
        <v>91</v>
      </c>
      <c r="D4012" t="s">
        <v>33</v>
      </c>
      <c r="E4012" t="s">
        <v>34</v>
      </c>
      <c r="F4012" t="str">
        <f>"0004300"</f>
        <v>0004300</v>
      </c>
      <c r="G4012">
        <v>1</v>
      </c>
      <c r="H4012" t="str">
        <f>"00000000"</f>
        <v>00000000</v>
      </c>
      <c r="I4012" t="s">
        <v>35</v>
      </c>
      <c r="J4012"/>
      <c r="K4012">
        <v>4.66</v>
      </c>
      <c r="L4012">
        <v>2.45</v>
      </c>
      <c r="M4012"/>
      <c r="N4012"/>
      <c r="O4012">
        <v>0.84</v>
      </c>
      <c r="P4012">
        <v>0.0</v>
      </c>
      <c r="Q4012">
        <v>7.95</v>
      </c>
      <c r="R4012"/>
      <c r="S4012"/>
      <c r="T4012"/>
      <c r="U4012"/>
      <c r="V4012"/>
      <c r="W4012">
        <v>18</v>
      </c>
    </row>
    <row r="4013" spans="1:23">
      <c r="A4013"/>
      <c r="B4013" t="s">
        <v>91</v>
      </c>
      <c r="C4013" t="s">
        <v>91</v>
      </c>
      <c r="D4013" t="s">
        <v>33</v>
      </c>
      <c r="E4013" t="s">
        <v>34</v>
      </c>
      <c r="F4013" t="str">
        <f>"0004301"</f>
        <v>0004301</v>
      </c>
      <c r="G4013">
        <v>1</v>
      </c>
      <c r="H4013" t="str">
        <f>"00000000"</f>
        <v>00000000</v>
      </c>
      <c r="I4013" t="s">
        <v>35</v>
      </c>
      <c r="J4013"/>
      <c r="K4013">
        <v>5.51</v>
      </c>
      <c r="L4013">
        <v>0.0</v>
      </c>
      <c r="M4013"/>
      <c r="N4013"/>
      <c r="O4013">
        <v>0.99</v>
      </c>
      <c r="P4013">
        <v>0.0</v>
      </c>
      <c r="Q4013">
        <v>6.5</v>
      </c>
      <c r="R4013"/>
      <c r="S4013"/>
      <c r="T4013"/>
      <c r="U4013"/>
      <c r="V4013"/>
      <c r="W4013">
        <v>18</v>
      </c>
    </row>
    <row r="4014" spans="1:23">
      <c r="A4014"/>
      <c r="B4014" t="s">
        <v>91</v>
      </c>
      <c r="C4014" t="s">
        <v>91</v>
      </c>
      <c r="D4014" t="s">
        <v>33</v>
      </c>
      <c r="E4014" t="s">
        <v>34</v>
      </c>
      <c r="F4014" t="str">
        <f>"0004302"</f>
        <v>0004302</v>
      </c>
      <c r="G4014">
        <v>1</v>
      </c>
      <c r="H4014" t="str">
        <f>"00000000"</f>
        <v>00000000</v>
      </c>
      <c r="I4014" t="s">
        <v>35</v>
      </c>
      <c r="J4014"/>
      <c r="K4014">
        <v>6.69</v>
      </c>
      <c r="L4014">
        <v>0.0</v>
      </c>
      <c r="M4014"/>
      <c r="N4014"/>
      <c r="O4014">
        <v>1.21</v>
      </c>
      <c r="P4014">
        <v>0.0</v>
      </c>
      <c r="Q4014">
        <v>7.9</v>
      </c>
      <c r="R4014"/>
      <c r="S4014"/>
      <c r="T4014"/>
      <c r="U4014"/>
      <c r="V4014"/>
      <c r="W4014">
        <v>18</v>
      </c>
    </row>
    <row r="4015" spans="1:23">
      <c r="A4015"/>
      <c r="B4015" t="s">
        <v>91</v>
      </c>
      <c r="C4015" t="s">
        <v>91</v>
      </c>
      <c r="D4015" t="s">
        <v>33</v>
      </c>
      <c r="E4015" t="s">
        <v>34</v>
      </c>
      <c r="F4015" t="str">
        <f>"0004303"</f>
        <v>0004303</v>
      </c>
      <c r="G4015">
        <v>1</v>
      </c>
      <c r="H4015" t="str">
        <f>"00000000"</f>
        <v>00000000</v>
      </c>
      <c r="I4015" t="s">
        <v>35</v>
      </c>
      <c r="J4015"/>
      <c r="K4015">
        <v>19.92</v>
      </c>
      <c r="L4015">
        <v>0.0</v>
      </c>
      <c r="M4015"/>
      <c r="N4015"/>
      <c r="O4015">
        <v>3.58</v>
      </c>
      <c r="P4015">
        <v>0.0</v>
      </c>
      <c r="Q4015">
        <v>23.5</v>
      </c>
      <c r="R4015"/>
      <c r="S4015"/>
      <c r="T4015"/>
      <c r="U4015"/>
      <c r="V4015"/>
      <c r="W4015">
        <v>18</v>
      </c>
    </row>
    <row r="4016" spans="1:23">
      <c r="A4016"/>
      <c r="B4016" t="s">
        <v>95</v>
      </c>
      <c r="C4016" t="s">
        <v>95</v>
      </c>
      <c r="D4016" t="s">
        <v>33</v>
      </c>
      <c r="E4016" t="s">
        <v>34</v>
      </c>
      <c r="F4016" t="str">
        <f>"0004304"</f>
        <v>0004304</v>
      </c>
      <c r="G4016">
        <v>1</v>
      </c>
      <c r="H4016" t="str">
        <f>"00000000"</f>
        <v>00000000</v>
      </c>
      <c r="I4016" t="s">
        <v>35</v>
      </c>
      <c r="J4016"/>
      <c r="K4016">
        <v>10.08</v>
      </c>
      <c r="L4016">
        <v>0.0</v>
      </c>
      <c r="M4016"/>
      <c r="N4016"/>
      <c r="O4016">
        <v>1.82</v>
      </c>
      <c r="P4016">
        <v>0.0</v>
      </c>
      <c r="Q4016">
        <v>11.9</v>
      </c>
      <c r="R4016"/>
      <c r="S4016"/>
      <c r="T4016"/>
      <c r="U4016"/>
      <c r="V4016"/>
      <c r="W4016">
        <v>18</v>
      </c>
    </row>
    <row r="4017" spans="1:23">
      <c r="A4017"/>
      <c r="B4017" t="s">
        <v>95</v>
      </c>
      <c r="C4017" t="s">
        <v>95</v>
      </c>
      <c r="D4017" t="s">
        <v>33</v>
      </c>
      <c r="E4017" t="s">
        <v>34</v>
      </c>
      <c r="F4017" t="str">
        <f>"0004305"</f>
        <v>0004305</v>
      </c>
      <c r="G4017">
        <v>1</v>
      </c>
      <c r="H4017" t="str">
        <f>"00000000"</f>
        <v>00000000</v>
      </c>
      <c r="I4017" t="s">
        <v>35</v>
      </c>
      <c r="J4017"/>
      <c r="K4017">
        <v>3.56</v>
      </c>
      <c r="L4017">
        <v>0.0</v>
      </c>
      <c r="M4017"/>
      <c r="N4017"/>
      <c r="O4017">
        <v>0.64</v>
      </c>
      <c r="P4017">
        <v>0.0</v>
      </c>
      <c r="Q4017">
        <v>4.2</v>
      </c>
      <c r="R4017"/>
      <c r="S4017"/>
      <c r="T4017"/>
      <c r="U4017"/>
      <c r="V4017"/>
      <c r="W4017">
        <v>18</v>
      </c>
    </row>
    <row r="4018" spans="1:23">
      <c r="A4018"/>
      <c r="B4018" t="s">
        <v>95</v>
      </c>
      <c r="C4018" t="s">
        <v>95</v>
      </c>
      <c r="D4018" t="s">
        <v>33</v>
      </c>
      <c r="E4018" t="s">
        <v>34</v>
      </c>
      <c r="F4018" t="str">
        <f>"0004306"</f>
        <v>0004306</v>
      </c>
      <c r="G4018">
        <v>1</v>
      </c>
      <c r="H4018" t="str">
        <f>"00000000"</f>
        <v>00000000</v>
      </c>
      <c r="I4018" t="s">
        <v>35</v>
      </c>
      <c r="J4018"/>
      <c r="K4018">
        <v>24.57</v>
      </c>
      <c r="L4018">
        <v>0.0</v>
      </c>
      <c r="M4018"/>
      <c r="N4018"/>
      <c r="O4018">
        <v>4.42</v>
      </c>
      <c r="P4018">
        <v>0.0</v>
      </c>
      <c r="Q4018">
        <v>29.0</v>
      </c>
      <c r="R4018"/>
      <c r="S4018"/>
      <c r="T4018"/>
      <c r="U4018"/>
      <c r="V4018"/>
      <c r="W4018">
        <v>18</v>
      </c>
    </row>
    <row r="4019" spans="1:23">
      <c r="A4019"/>
      <c r="B4019" t="s">
        <v>95</v>
      </c>
      <c r="C4019" t="s">
        <v>95</v>
      </c>
      <c r="D4019" t="s">
        <v>33</v>
      </c>
      <c r="E4019" t="s">
        <v>34</v>
      </c>
      <c r="F4019" t="str">
        <f>"0004307"</f>
        <v>0004307</v>
      </c>
      <c r="G4019">
        <v>1</v>
      </c>
      <c r="H4019" t="str">
        <f>"00000000"</f>
        <v>00000000</v>
      </c>
      <c r="I4019" t="s">
        <v>35</v>
      </c>
      <c r="J4019"/>
      <c r="K4019">
        <v>34.34</v>
      </c>
      <c r="L4019">
        <v>0.0</v>
      </c>
      <c r="M4019"/>
      <c r="N4019"/>
      <c r="O4019">
        <v>6.18</v>
      </c>
      <c r="P4019">
        <v>0.2</v>
      </c>
      <c r="Q4019">
        <v>40.72</v>
      </c>
      <c r="R4019"/>
      <c r="S4019"/>
      <c r="T4019"/>
      <c r="U4019"/>
      <c r="V4019"/>
      <c r="W4019">
        <v>18</v>
      </c>
    </row>
    <row r="4020" spans="1:23">
      <c r="A4020"/>
      <c r="B4020" t="s">
        <v>95</v>
      </c>
      <c r="C4020" t="s">
        <v>95</v>
      </c>
      <c r="D4020" t="s">
        <v>33</v>
      </c>
      <c r="E4020" t="s">
        <v>34</v>
      </c>
      <c r="F4020" t="str">
        <f>"0004308"</f>
        <v>0004308</v>
      </c>
      <c r="G4020">
        <v>1</v>
      </c>
      <c r="H4020" t="str">
        <f>"00000000"</f>
        <v>00000000</v>
      </c>
      <c r="I4020" t="s">
        <v>35</v>
      </c>
      <c r="J4020"/>
      <c r="K4020">
        <v>21.53</v>
      </c>
      <c r="L4020">
        <v>0.0</v>
      </c>
      <c r="M4020"/>
      <c r="N4020"/>
      <c r="O4020">
        <v>3.87</v>
      </c>
      <c r="P4020">
        <v>0.0</v>
      </c>
      <c r="Q4020">
        <v>25.4</v>
      </c>
      <c r="R4020"/>
      <c r="S4020"/>
      <c r="T4020"/>
      <c r="U4020"/>
      <c r="V4020"/>
      <c r="W4020">
        <v>18</v>
      </c>
    </row>
    <row r="4021" spans="1:23">
      <c r="A4021"/>
      <c r="B4021" t="s">
        <v>95</v>
      </c>
      <c r="C4021" t="s">
        <v>95</v>
      </c>
      <c r="D4021" t="s">
        <v>33</v>
      </c>
      <c r="E4021" t="s">
        <v>34</v>
      </c>
      <c r="F4021" t="str">
        <f>"0004309"</f>
        <v>0004309</v>
      </c>
      <c r="G4021">
        <v>1</v>
      </c>
      <c r="H4021" t="str">
        <f>"00000000"</f>
        <v>00000000</v>
      </c>
      <c r="I4021" t="s">
        <v>35</v>
      </c>
      <c r="J4021"/>
      <c r="K4021">
        <v>4.17</v>
      </c>
      <c r="L4021">
        <v>0.0</v>
      </c>
      <c r="M4021"/>
      <c r="N4021"/>
      <c r="O4021">
        <v>0.75</v>
      </c>
      <c r="P4021">
        <v>0.2</v>
      </c>
      <c r="Q4021">
        <v>5.12</v>
      </c>
      <c r="R4021"/>
      <c r="S4021"/>
      <c r="T4021"/>
      <c r="U4021"/>
      <c r="V4021"/>
      <c r="W4021">
        <v>18</v>
      </c>
    </row>
    <row r="4022" spans="1:23">
      <c r="A4022"/>
      <c r="B4022" t="s">
        <v>95</v>
      </c>
      <c r="C4022" t="s">
        <v>95</v>
      </c>
      <c r="D4022" t="s">
        <v>33</v>
      </c>
      <c r="E4022" t="s">
        <v>34</v>
      </c>
      <c r="F4022" t="str">
        <f>"0004310"</f>
        <v>0004310</v>
      </c>
      <c r="G4022">
        <v>1</v>
      </c>
      <c r="H4022" t="str">
        <f>"00000000"</f>
        <v>00000000</v>
      </c>
      <c r="I4022" t="s">
        <v>35</v>
      </c>
      <c r="J4022"/>
      <c r="K4022">
        <v>19.72</v>
      </c>
      <c r="L4022">
        <v>44.41</v>
      </c>
      <c r="M4022"/>
      <c r="N4022"/>
      <c r="O4022">
        <v>3.55</v>
      </c>
      <c r="P4022">
        <v>0.4</v>
      </c>
      <c r="Q4022">
        <v>68.09</v>
      </c>
      <c r="R4022"/>
      <c r="S4022"/>
      <c r="T4022"/>
      <c r="U4022"/>
      <c r="V4022"/>
      <c r="W4022">
        <v>18</v>
      </c>
    </row>
    <row r="4023" spans="1:23">
      <c r="A4023"/>
      <c r="B4023" t="s">
        <v>95</v>
      </c>
      <c r="C4023" t="s">
        <v>95</v>
      </c>
      <c r="D4023" t="s">
        <v>33</v>
      </c>
      <c r="E4023" t="s">
        <v>34</v>
      </c>
      <c r="F4023" t="str">
        <f>"0004311"</f>
        <v>0004311</v>
      </c>
      <c r="G4023">
        <v>1</v>
      </c>
      <c r="H4023" t="str">
        <f>"00000000"</f>
        <v>00000000</v>
      </c>
      <c r="I4023" t="s">
        <v>35</v>
      </c>
      <c r="J4023"/>
      <c r="K4023">
        <v>4.32</v>
      </c>
      <c r="L4023">
        <v>0.0</v>
      </c>
      <c r="M4023"/>
      <c r="N4023"/>
      <c r="O4023">
        <v>0.78</v>
      </c>
      <c r="P4023">
        <v>0.0</v>
      </c>
      <c r="Q4023">
        <v>5.1</v>
      </c>
      <c r="R4023"/>
      <c r="S4023"/>
      <c r="T4023"/>
      <c r="U4023"/>
      <c r="V4023"/>
      <c r="W4023">
        <v>18</v>
      </c>
    </row>
    <row r="4024" spans="1:23">
      <c r="A4024"/>
      <c r="B4024" t="s">
        <v>95</v>
      </c>
      <c r="C4024" t="s">
        <v>95</v>
      </c>
      <c r="D4024" t="s">
        <v>33</v>
      </c>
      <c r="E4024" t="s">
        <v>34</v>
      </c>
      <c r="F4024" t="str">
        <f>"0004312"</f>
        <v>0004312</v>
      </c>
      <c r="G4024">
        <v>1</v>
      </c>
      <c r="H4024" t="str">
        <f>"00000000"</f>
        <v>00000000</v>
      </c>
      <c r="I4024" t="s">
        <v>35</v>
      </c>
      <c r="J4024"/>
      <c r="K4024">
        <v>1.53</v>
      </c>
      <c r="L4024">
        <v>0.0</v>
      </c>
      <c r="M4024"/>
      <c r="N4024"/>
      <c r="O4024">
        <v>0.27</v>
      </c>
      <c r="P4024">
        <v>0.0</v>
      </c>
      <c r="Q4024">
        <v>1.8</v>
      </c>
      <c r="R4024"/>
      <c r="S4024"/>
      <c r="T4024"/>
      <c r="U4024"/>
      <c r="V4024"/>
      <c r="W4024">
        <v>18</v>
      </c>
    </row>
    <row r="4025" spans="1:23">
      <c r="A4025"/>
      <c r="B4025" t="s">
        <v>95</v>
      </c>
      <c r="C4025" t="s">
        <v>95</v>
      </c>
      <c r="D4025" t="s">
        <v>33</v>
      </c>
      <c r="E4025" t="s">
        <v>34</v>
      </c>
      <c r="F4025" t="str">
        <f>"0004313"</f>
        <v>0004313</v>
      </c>
      <c r="G4025">
        <v>1</v>
      </c>
      <c r="H4025" t="str">
        <f>"00000000"</f>
        <v>00000000</v>
      </c>
      <c r="I4025" t="s">
        <v>35</v>
      </c>
      <c r="J4025"/>
      <c r="K4025">
        <v>1.71</v>
      </c>
      <c r="L4025">
        <v>6.71</v>
      </c>
      <c r="M4025"/>
      <c r="N4025"/>
      <c r="O4025">
        <v>0.31</v>
      </c>
      <c r="P4025">
        <v>0.2</v>
      </c>
      <c r="Q4025">
        <v>8.93</v>
      </c>
      <c r="R4025"/>
      <c r="S4025"/>
      <c r="T4025"/>
      <c r="U4025"/>
      <c r="V4025"/>
      <c r="W4025">
        <v>18</v>
      </c>
    </row>
    <row r="4026" spans="1:23">
      <c r="A4026"/>
      <c r="B4026" t="s">
        <v>95</v>
      </c>
      <c r="C4026" t="s">
        <v>95</v>
      </c>
      <c r="D4026" t="s">
        <v>33</v>
      </c>
      <c r="E4026" t="s">
        <v>34</v>
      </c>
      <c r="F4026" t="str">
        <f>"0004314"</f>
        <v>0004314</v>
      </c>
      <c r="G4026">
        <v>1</v>
      </c>
      <c r="H4026" t="str">
        <f>"00000000"</f>
        <v>00000000</v>
      </c>
      <c r="I4026" t="s">
        <v>35</v>
      </c>
      <c r="J4026"/>
      <c r="K4026">
        <v>0.0</v>
      </c>
      <c r="L4026">
        <v>0.56</v>
      </c>
      <c r="M4026"/>
      <c r="N4026"/>
      <c r="O4026">
        <v>0.0</v>
      </c>
      <c r="P4026">
        <v>0.0</v>
      </c>
      <c r="Q4026">
        <v>0.56</v>
      </c>
      <c r="R4026"/>
      <c r="S4026"/>
      <c r="T4026"/>
      <c r="U4026"/>
      <c r="V4026"/>
      <c r="W4026">
        <v>18</v>
      </c>
    </row>
    <row r="4027" spans="1:23">
      <c r="A4027"/>
      <c r="B4027" t="s">
        <v>95</v>
      </c>
      <c r="C4027" t="s">
        <v>95</v>
      </c>
      <c r="D4027" t="s">
        <v>33</v>
      </c>
      <c r="E4027" t="s">
        <v>34</v>
      </c>
      <c r="F4027" t="str">
        <f>"0004315"</f>
        <v>0004315</v>
      </c>
      <c r="G4027">
        <v>1</v>
      </c>
      <c r="H4027" t="str">
        <f>"00000000"</f>
        <v>00000000</v>
      </c>
      <c r="I4027" t="s">
        <v>35</v>
      </c>
      <c r="J4027"/>
      <c r="K4027">
        <v>2.42</v>
      </c>
      <c r="L4027">
        <v>4.97</v>
      </c>
      <c r="M4027"/>
      <c r="N4027"/>
      <c r="O4027">
        <v>0.43</v>
      </c>
      <c r="P4027">
        <v>0.0</v>
      </c>
      <c r="Q4027">
        <v>7.82</v>
      </c>
      <c r="R4027"/>
      <c r="S4027"/>
      <c r="T4027"/>
      <c r="U4027"/>
      <c r="V4027"/>
      <c r="W4027">
        <v>18</v>
      </c>
    </row>
    <row r="4028" spans="1:23">
      <c r="A4028"/>
      <c r="B4028" t="s">
        <v>95</v>
      </c>
      <c r="C4028" t="s">
        <v>95</v>
      </c>
      <c r="D4028" t="s">
        <v>33</v>
      </c>
      <c r="E4028" t="s">
        <v>34</v>
      </c>
      <c r="F4028" t="str">
        <f>"0004316"</f>
        <v>0004316</v>
      </c>
      <c r="G4028">
        <v>1</v>
      </c>
      <c r="H4028" t="str">
        <f>"00000000"</f>
        <v>00000000</v>
      </c>
      <c r="I4028" t="s">
        <v>35</v>
      </c>
      <c r="J4028"/>
      <c r="K4028">
        <v>0.0</v>
      </c>
      <c r="L4028">
        <v>3.86</v>
      </c>
      <c r="M4028"/>
      <c r="N4028"/>
      <c r="O4028">
        <v>0.0</v>
      </c>
      <c r="P4028">
        <v>0.0</v>
      </c>
      <c r="Q4028">
        <v>3.86</v>
      </c>
      <c r="R4028"/>
      <c r="S4028"/>
      <c r="T4028"/>
      <c r="U4028"/>
      <c r="V4028"/>
      <c r="W4028">
        <v>18</v>
      </c>
    </row>
    <row r="4029" spans="1:23">
      <c r="A4029"/>
      <c r="B4029" t="s">
        <v>95</v>
      </c>
      <c r="C4029" t="s">
        <v>95</v>
      </c>
      <c r="D4029" t="s">
        <v>33</v>
      </c>
      <c r="E4029" t="s">
        <v>34</v>
      </c>
      <c r="F4029" t="str">
        <f>"0004317"</f>
        <v>0004317</v>
      </c>
      <c r="G4029">
        <v>1</v>
      </c>
      <c r="H4029" t="str">
        <f>"00000000"</f>
        <v>00000000</v>
      </c>
      <c r="I4029" t="s">
        <v>35</v>
      </c>
      <c r="J4029"/>
      <c r="K4029">
        <v>1.02</v>
      </c>
      <c r="L4029">
        <v>0.0</v>
      </c>
      <c r="M4029"/>
      <c r="N4029"/>
      <c r="O4029">
        <v>0.18</v>
      </c>
      <c r="P4029">
        <v>0.0</v>
      </c>
      <c r="Q4029">
        <v>1.2</v>
      </c>
      <c r="R4029"/>
      <c r="S4029"/>
      <c r="T4029"/>
      <c r="U4029"/>
      <c r="V4029"/>
      <c r="W4029">
        <v>18</v>
      </c>
    </row>
    <row r="4030" spans="1:23">
      <c r="A4030"/>
      <c r="B4030" t="s">
        <v>95</v>
      </c>
      <c r="C4030" t="s">
        <v>95</v>
      </c>
      <c r="D4030" t="s">
        <v>33</v>
      </c>
      <c r="E4030" t="s">
        <v>34</v>
      </c>
      <c r="F4030" t="str">
        <f>"0004318"</f>
        <v>0004318</v>
      </c>
      <c r="G4030">
        <v>1</v>
      </c>
      <c r="H4030" t="str">
        <f>"00000000"</f>
        <v>00000000</v>
      </c>
      <c r="I4030" t="s">
        <v>35</v>
      </c>
      <c r="J4030"/>
      <c r="K4030">
        <v>23.9</v>
      </c>
      <c r="L4030">
        <v>0.0</v>
      </c>
      <c r="M4030"/>
      <c r="N4030"/>
      <c r="O4030">
        <v>4.3</v>
      </c>
      <c r="P4030">
        <v>0.0</v>
      </c>
      <c r="Q4030">
        <v>28.2</v>
      </c>
      <c r="R4030"/>
      <c r="S4030"/>
      <c r="T4030"/>
      <c r="U4030"/>
      <c r="V4030"/>
      <c r="W4030">
        <v>18</v>
      </c>
    </row>
    <row r="4031" spans="1:23">
      <c r="A4031"/>
      <c r="B4031" t="s">
        <v>95</v>
      </c>
      <c r="C4031" t="s">
        <v>95</v>
      </c>
      <c r="D4031" t="s">
        <v>33</v>
      </c>
      <c r="E4031" t="s">
        <v>34</v>
      </c>
      <c r="F4031" t="str">
        <f>"0004319"</f>
        <v>0004319</v>
      </c>
      <c r="G4031">
        <v>1</v>
      </c>
      <c r="H4031" t="str">
        <f>"00000000"</f>
        <v>00000000</v>
      </c>
      <c r="I4031" t="s">
        <v>35</v>
      </c>
      <c r="J4031"/>
      <c r="K4031">
        <v>23.93</v>
      </c>
      <c r="L4031">
        <v>4.25</v>
      </c>
      <c r="M4031"/>
      <c r="N4031"/>
      <c r="O4031">
        <v>4.31</v>
      </c>
      <c r="P4031">
        <v>0.0</v>
      </c>
      <c r="Q4031">
        <v>32.49</v>
      </c>
      <c r="R4031"/>
      <c r="S4031"/>
      <c r="T4031"/>
      <c r="U4031"/>
      <c r="V4031"/>
      <c r="W4031">
        <v>18</v>
      </c>
    </row>
    <row r="4032" spans="1:23">
      <c r="A4032"/>
      <c r="B4032" t="s">
        <v>95</v>
      </c>
      <c r="C4032" t="s">
        <v>95</v>
      </c>
      <c r="D4032" t="s">
        <v>33</v>
      </c>
      <c r="E4032" t="s">
        <v>34</v>
      </c>
      <c r="F4032" t="str">
        <f>"0004320"</f>
        <v>0004320</v>
      </c>
      <c r="G4032">
        <v>1</v>
      </c>
      <c r="H4032" t="str">
        <f>"00000000"</f>
        <v>00000000</v>
      </c>
      <c r="I4032" t="s">
        <v>35</v>
      </c>
      <c r="J4032"/>
      <c r="K4032">
        <v>11.11</v>
      </c>
      <c r="L4032">
        <v>1.25</v>
      </c>
      <c r="M4032"/>
      <c r="N4032"/>
      <c r="O4032">
        <v>2.0</v>
      </c>
      <c r="P4032">
        <v>0.2</v>
      </c>
      <c r="Q4032">
        <v>14.55</v>
      </c>
      <c r="R4032"/>
      <c r="S4032"/>
      <c r="T4032"/>
      <c r="U4032"/>
      <c r="V4032"/>
      <c r="W4032">
        <v>18</v>
      </c>
    </row>
    <row r="4033" spans="1:23">
      <c r="A4033"/>
      <c r="B4033" t="s">
        <v>95</v>
      </c>
      <c r="C4033" t="s">
        <v>95</v>
      </c>
      <c r="D4033" t="s">
        <v>33</v>
      </c>
      <c r="E4033" t="s">
        <v>34</v>
      </c>
      <c r="F4033" t="str">
        <f>"0004321"</f>
        <v>0004321</v>
      </c>
      <c r="G4033">
        <v>1</v>
      </c>
      <c r="H4033" t="str">
        <f>"00000000"</f>
        <v>00000000</v>
      </c>
      <c r="I4033" t="s">
        <v>35</v>
      </c>
      <c r="J4033"/>
      <c r="K4033">
        <v>4.66</v>
      </c>
      <c r="L4033">
        <v>0.96</v>
      </c>
      <c r="M4033"/>
      <c r="N4033"/>
      <c r="O4033">
        <v>0.84</v>
      </c>
      <c r="P4033">
        <v>0.0</v>
      </c>
      <c r="Q4033">
        <v>6.46</v>
      </c>
      <c r="R4033"/>
      <c r="S4033"/>
      <c r="T4033"/>
      <c r="U4033"/>
      <c r="V4033"/>
      <c r="W4033">
        <v>18</v>
      </c>
    </row>
    <row r="4034" spans="1:23">
      <c r="A4034"/>
      <c r="B4034" t="s">
        <v>95</v>
      </c>
      <c r="C4034" t="s">
        <v>95</v>
      </c>
      <c r="D4034" t="s">
        <v>33</v>
      </c>
      <c r="E4034" t="s">
        <v>34</v>
      </c>
      <c r="F4034" t="str">
        <f>"0004322"</f>
        <v>0004322</v>
      </c>
      <c r="G4034">
        <v>1</v>
      </c>
      <c r="H4034" t="str">
        <f>"00000000"</f>
        <v>00000000</v>
      </c>
      <c r="I4034" t="s">
        <v>35</v>
      </c>
      <c r="J4034"/>
      <c r="K4034">
        <v>19.78</v>
      </c>
      <c r="L4034">
        <v>0.0</v>
      </c>
      <c r="M4034"/>
      <c r="N4034"/>
      <c r="O4034">
        <v>3.56</v>
      </c>
      <c r="P4034">
        <v>0.2</v>
      </c>
      <c r="Q4034">
        <v>23.54</v>
      </c>
      <c r="R4034"/>
      <c r="S4034"/>
      <c r="T4034"/>
      <c r="U4034"/>
      <c r="V4034"/>
      <c r="W4034">
        <v>18</v>
      </c>
    </row>
    <row r="4035" spans="1:23">
      <c r="A4035"/>
      <c r="B4035" t="s">
        <v>95</v>
      </c>
      <c r="C4035" t="s">
        <v>95</v>
      </c>
      <c r="D4035" t="s">
        <v>33</v>
      </c>
      <c r="E4035" t="s">
        <v>34</v>
      </c>
      <c r="F4035" t="str">
        <f>"0004323"</f>
        <v>0004323</v>
      </c>
      <c r="G4035">
        <v>1</v>
      </c>
      <c r="H4035" t="str">
        <f>"00000000"</f>
        <v>00000000</v>
      </c>
      <c r="I4035" t="s">
        <v>35</v>
      </c>
      <c r="J4035"/>
      <c r="K4035">
        <v>34.47</v>
      </c>
      <c r="L4035">
        <v>6.3</v>
      </c>
      <c r="M4035"/>
      <c r="N4035"/>
      <c r="O4035">
        <v>6.2</v>
      </c>
      <c r="P4035">
        <v>0.2</v>
      </c>
      <c r="Q4035">
        <v>47.17</v>
      </c>
      <c r="R4035"/>
      <c r="S4035"/>
      <c r="T4035"/>
      <c r="U4035"/>
      <c r="V4035"/>
      <c r="W4035">
        <v>18</v>
      </c>
    </row>
    <row r="4036" spans="1:23">
      <c r="A4036"/>
      <c r="B4036" t="s">
        <v>95</v>
      </c>
      <c r="C4036" t="s">
        <v>95</v>
      </c>
      <c r="D4036" t="s">
        <v>33</v>
      </c>
      <c r="E4036" t="s">
        <v>34</v>
      </c>
      <c r="F4036" t="str">
        <f>"0004324"</f>
        <v>0004324</v>
      </c>
      <c r="G4036">
        <v>1</v>
      </c>
      <c r="H4036" t="str">
        <f>"00000000"</f>
        <v>00000000</v>
      </c>
      <c r="I4036" t="s">
        <v>35</v>
      </c>
      <c r="J4036"/>
      <c r="K4036">
        <v>1.69</v>
      </c>
      <c r="L4036">
        <v>0.0</v>
      </c>
      <c r="M4036"/>
      <c r="N4036"/>
      <c r="O4036">
        <v>0.31</v>
      </c>
      <c r="P4036">
        <v>0.0</v>
      </c>
      <c r="Q4036">
        <v>2.0</v>
      </c>
      <c r="R4036"/>
      <c r="S4036"/>
      <c r="T4036"/>
      <c r="U4036"/>
      <c r="V4036"/>
      <c r="W4036">
        <v>18</v>
      </c>
    </row>
    <row r="4037" spans="1:23">
      <c r="A4037"/>
      <c r="B4037" t="s">
        <v>95</v>
      </c>
      <c r="C4037" t="s">
        <v>95</v>
      </c>
      <c r="D4037" t="s">
        <v>33</v>
      </c>
      <c r="E4037" t="s">
        <v>34</v>
      </c>
      <c r="F4037" t="str">
        <f>"0004325"</f>
        <v>0004325</v>
      </c>
      <c r="G4037">
        <v>1</v>
      </c>
      <c r="H4037" t="str">
        <f>"00000000"</f>
        <v>00000000</v>
      </c>
      <c r="I4037" t="s">
        <v>35</v>
      </c>
      <c r="J4037"/>
      <c r="K4037">
        <v>7.63</v>
      </c>
      <c r="L4037">
        <v>0.0</v>
      </c>
      <c r="M4037"/>
      <c r="N4037"/>
      <c r="O4037">
        <v>1.37</v>
      </c>
      <c r="P4037">
        <v>0.0</v>
      </c>
      <c r="Q4037">
        <v>9.0</v>
      </c>
      <c r="R4037"/>
      <c r="S4037"/>
      <c r="T4037"/>
      <c r="U4037"/>
      <c r="V4037"/>
      <c r="W4037">
        <v>18</v>
      </c>
    </row>
    <row r="4038" spans="1:23">
      <c r="A4038"/>
      <c r="B4038" t="s">
        <v>95</v>
      </c>
      <c r="C4038" t="s">
        <v>95</v>
      </c>
      <c r="D4038" t="s">
        <v>33</v>
      </c>
      <c r="E4038" t="s">
        <v>34</v>
      </c>
      <c r="F4038" t="str">
        <f>"0004326"</f>
        <v>0004326</v>
      </c>
      <c r="G4038">
        <v>1</v>
      </c>
      <c r="H4038" t="str">
        <f>"00000000"</f>
        <v>00000000</v>
      </c>
      <c r="I4038" t="s">
        <v>35</v>
      </c>
      <c r="J4038"/>
      <c r="K4038">
        <v>10.43</v>
      </c>
      <c r="L4038">
        <v>0.32</v>
      </c>
      <c r="M4038"/>
      <c r="N4038"/>
      <c r="O4038">
        <v>1.88</v>
      </c>
      <c r="P4038">
        <v>0.0</v>
      </c>
      <c r="Q4038">
        <v>12.63</v>
      </c>
      <c r="R4038"/>
      <c r="S4038"/>
      <c r="T4038"/>
      <c r="U4038"/>
      <c r="V4038"/>
      <c r="W4038">
        <v>18</v>
      </c>
    </row>
    <row r="4039" spans="1:23">
      <c r="A4039"/>
      <c r="B4039" t="s">
        <v>95</v>
      </c>
      <c r="C4039" t="s">
        <v>95</v>
      </c>
      <c r="D4039" t="s">
        <v>33</v>
      </c>
      <c r="E4039" t="s">
        <v>34</v>
      </c>
      <c r="F4039" t="str">
        <f>"0004327"</f>
        <v>0004327</v>
      </c>
      <c r="G4039">
        <v>1</v>
      </c>
      <c r="H4039" t="str">
        <f>"00000000"</f>
        <v>00000000</v>
      </c>
      <c r="I4039" t="s">
        <v>35</v>
      </c>
      <c r="J4039"/>
      <c r="K4039">
        <v>0.02</v>
      </c>
      <c r="L4039">
        <v>0.0</v>
      </c>
      <c r="M4039"/>
      <c r="N4039"/>
      <c r="O4039">
        <v>0.0</v>
      </c>
      <c r="P4039">
        <v>0.2</v>
      </c>
      <c r="Q4039">
        <v>0.22</v>
      </c>
      <c r="R4039"/>
      <c r="S4039"/>
      <c r="T4039"/>
      <c r="U4039"/>
      <c r="V4039"/>
      <c r="W4039">
        <v>18</v>
      </c>
    </row>
    <row r="4040" spans="1:23">
      <c r="A4040"/>
      <c r="B4040" t="s">
        <v>95</v>
      </c>
      <c r="C4040" t="s">
        <v>95</v>
      </c>
      <c r="D4040" t="s">
        <v>33</v>
      </c>
      <c r="E4040" t="s">
        <v>34</v>
      </c>
      <c r="F4040" t="str">
        <f>"0004328"</f>
        <v>0004328</v>
      </c>
      <c r="G4040">
        <v>1</v>
      </c>
      <c r="H4040" t="str">
        <f>"00000000"</f>
        <v>00000000</v>
      </c>
      <c r="I4040" t="s">
        <v>35</v>
      </c>
      <c r="J4040"/>
      <c r="K4040">
        <v>1.69</v>
      </c>
      <c r="L4040">
        <v>0.0</v>
      </c>
      <c r="M4040"/>
      <c r="N4040"/>
      <c r="O4040">
        <v>0.31</v>
      </c>
      <c r="P4040">
        <v>0.0</v>
      </c>
      <c r="Q4040">
        <v>2.0</v>
      </c>
      <c r="R4040"/>
      <c r="S4040"/>
      <c r="T4040"/>
      <c r="U4040"/>
      <c r="V4040"/>
      <c r="W4040">
        <v>18</v>
      </c>
    </row>
    <row r="4041" spans="1:23">
      <c r="A4041"/>
      <c r="B4041" t="s">
        <v>95</v>
      </c>
      <c r="C4041" t="s">
        <v>95</v>
      </c>
      <c r="D4041" t="s">
        <v>33</v>
      </c>
      <c r="E4041" t="s">
        <v>34</v>
      </c>
      <c r="F4041" t="str">
        <f>"0004329"</f>
        <v>0004329</v>
      </c>
      <c r="G4041">
        <v>1</v>
      </c>
      <c r="H4041" t="str">
        <f>"00000000"</f>
        <v>00000000</v>
      </c>
      <c r="I4041" t="s">
        <v>35</v>
      </c>
      <c r="J4041"/>
      <c r="K4041">
        <v>2.54</v>
      </c>
      <c r="L4041">
        <v>0.0</v>
      </c>
      <c r="M4041"/>
      <c r="N4041"/>
      <c r="O4041">
        <v>0.46</v>
      </c>
      <c r="P4041">
        <v>0.0</v>
      </c>
      <c r="Q4041">
        <v>3.0</v>
      </c>
      <c r="R4041"/>
      <c r="S4041"/>
      <c r="T4041"/>
      <c r="U4041"/>
      <c r="V4041"/>
      <c r="W4041">
        <v>18</v>
      </c>
    </row>
    <row r="4042" spans="1:23">
      <c r="A4042"/>
      <c r="B4042" t="s">
        <v>95</v>
      </c>
      <c r="C4042" t="s">
        <v>95</v>
      </c>
      <c r="D4042" t="s">
        <v>33</v>
      </c>
      <c r="E4042" t="s">
        <v>34</v>
      </c>
      <c r="F4042" t="str">
        <f>"0004330"</f>
        <v>0004330</v>
      </c>
      <c r="G4042">
        <v>1</v>
      </c>
      <c r="H4042" t="str">
        <f>"00000000"</f>
        <v>00000000</v>
      </c>
      <c r="I4042" t="s">
        <v>35</v>
      </c>
      <c r="J4042"/>
      <c r="K4042">
        <v>2.54</v>
      </c>
      <c r="L4042">
        <v>0.0</v>
      </c>
      <c r="M4042"/>
      <c r="N4042"/>
      <c r="O4042">
        <v>0.46</v>
      </c>
      <c r="P4042">
        <v>0.0</v>
      </c>
      <c r="Q4042">
        <v>3.0</v>
      </c>
      <c r="R4042"/>
      <c r="S4042"/>
      <c r="T4042"/>
      <c r="U4042"/>
      <c r="V4042"/>
      <c r="W4042">
        <v>18</v>
      </c>
    </row>
    <row r="4043" spans="1:23">
      <c r="A4043"/>
      <c r="B4043" t="s">
        <v>95</v>
      </c>
      <c r="C4043" t="s">
        <v>95</v>
      </c>
      <c r="D4043" t="s">
        <v>33</v>
      </c>
      <c r="E4043" t="s">
        <v>34</v>
      </c>
      <c r="F4043" t="str">
        <f>"0004331"</f>
        <v>0004331</v>
      </c>
      <c r="G4043">
        <v>1</v>
      </c>
      <c r="H4043" t="str">
        <f>"00000000"</f>
        <v>00000000</v>
      </c>
      <c r="I4043" t="s">
        <v>35</v>
      </c>
      <c r="J4043"/>
      <c r="K4043">
        <v>20.34</v>
      </c>
      <c r="L4043">
        <v>0.0</v>
      </c>
      <c r="M4043"/>
      <c r="N4043"/>
      <c r="O4043">
        <v>3.66</v>
      </c>
      <c r="P4043">
        <v>0.0</v>
      </c>
      <c r="Q4043">
        <v>24.0</v>
      </c>
      <c r="R4043"/>
      <c r="S4043"/>
      <c r="T4043"/>
      <c r="U4043"/>
      <c r="V4043"/>
      <c r="W4043">
        <v>18</v>
      </c>
    </row>
    <row r="4044" spans="1:23">
      <c r="A4044"/>
      <c r="B4044" t="s">
        <v>95</v>
      </c>
      <c r="C4044" t="s">
        <v>95</v>
      </c>
      <c r="D4044" t="s">
        <v>33</v>
      </c>
      <c r="E4044" t="s">
        <v>34</v>
      </c>
      <c r="F4044" t="str">
        <f>"0004332"</f>
        <v>0004332</v>
      </c>
      <c r="G4044">
        <v>1</v>
      </c>
      <c r="H4044" t="str">
        <f>"00000000"</f>
        <v>00000000</v>
      </c>
      <c r="I4044" t="s">
        <v>35</v>
      </c>
      <c r="J4044"/>
      <c r="K4044">
        <v>2.75</v>
      </c>
      <c r="L4044">
        <v>3.5</v>
      </c>
      <c r="M4044"/>
      <c r="N4044"/>
      <c r="O4044">
        <v>0.5</v>
      </c>
      <c r="P4044">
        <v>0.0</v>
      </c>
      <c r="Q4044">
        <v>6.75</v>
      </c>
      <c r="R4044"/>
      <c r="S4044"/>
      <c r="T4044"/>
      <c r="U4044"/>
      <c r="V4044"/>
      <c r="W4044">
        <v>18</v>
      </c>
    </row>
    <row r="4045" spans="1:23">
      <c r="A4045"/>
      <c r="B4045" t="s">
        <v>95</v>
      </c>
      <c r="C4045" t="s">
        <v>95</v>
      </c>
      <c r="D4045" t="s">
        <v>33</v>
      </c>
      <c r="E4045" t="s">
        <v>34</v>
      </c>
      <c r="F4045" t="str">
        <f>"0004333"</f>
        <v>0004333</v>
      </c>
      <c r="G4045">
        <v>1</v>
      </c>
      <c r="H4045" t="str">
        <f>"00000000"</f>
        <v>00000000</v>
      </c>
      <c r="I4045" t="s">
        <v>35</v>
      </c>
      <c r="J4045"/>
      <c r="K4045">
        <v>1.64</v>
      </c>
      <c r="L4045">
        <v>15.7</v>
      </c>
      <c r="M4045"/>
      <c r="N4045"/>
      <c r="O4045">
        <v>0.29</v>
      </c>
      <c r="P4045">
        <v>0.2</v>
      </c>
      <c r="Q4045">
        <v>17.83</v>
      </c>
      <c r="R4045"/>
      <c r="S4045"/>
      <c r="T4045"/>
      <c r="U4045"/>
      <c r="V4045"/>
      <c r="W4045">
        <v>18</v>
      </c>
    </row>
    <row r="4046" spans="1:23">
      <c r="A4046"/>
      <c r="B4046" t="s">
        <v>95</v>
      </c>
      <c r="C4046" t="s">
        <v>95</v>
      </c>
      <c r="D4046" t="s">
        <v>33</v>
      </c>
      <c r="E4046" t="s">
        <v>34</v>
      </c>
      <c r="F4046" t="str">
        <f>"0004334"</f>
        <v>0004334</v>
      </c>
      <c r="G4046">
        <v>1</v>
      </c>
      <c r="H4046" t="str">
        <f>"00000000"</f>
        <v>00000000</v>
      </c>
      <c r="I4046" t="s">
        <v>35</v>
      </c>
      <c r="J4046"/>
      <c r="K4046">
        <v>2.53</v>
      </c>
      <c r="L4046">
        <v>0.0</v>
      </c>
      <c r="M4046"/>
      <c r="N4046"/>
      <c r="O4046">
        <v>0.46</v>
      </c>
      <c r="P4046">
        <v>0.0</v>
      </c>
      <c r="Q4046">
        <v>2.99</v>
      </c>
      <c r="R4046"/>
      <c r="S4046"/>
      <c r="T4046"/>
      <c r="U4046"/>
      <c r="V4046"/>
      <c r="W4046">
        <v>18</v>
      </c>
    </row>
    <row r="4047" spans="1:23">
      <c r="A4047"/>
      <c r="B4047" t="s">
        <v>95</v>
      </c>
      <c r="C4047" t="s">
        <v>95</v>
      </c>
      <c r="D4047" t="s">
        <v>33</v>
      </c>
      <c r="E4047" t="s">
        <v>34</v>
      </c>
      <c r="F4047" t="str">
        <f>"0004335"</f>
        <v>0004335</v>
      </c>
      <c r="G4047">
        <v>1</v>
      </c>
      <c r="H4047" t="str">
        <f>"00000000"</f>
        <v>00000000</v>
      </c>
      <c r="I4047" t="s">
        <v>35</v>
      </c>
      <c r="J4047"/>
      <c r="K4047">
        <v>1.03</v>
      </c>
      <c r="L4047">
        <v>4.0</v>
      </c>
      <c r="M4047"/>
      <c r="N4047"/>
      <c r="O4047">
        <v>0.19</v>
      </c>
      <c r="P4047">
        <v>0.2</v>
      </c>
      <c r="Q4047">
        <v>5.42</v>
      </c>
      <c r="R4047"/>
      <c r="S4047"/>
      <c r="T4047"/>
      <c r="U4047"/>
      <c r="V4047"/>
      <c r="W4047">
        <v>18</v>
      </c>
    </row>
    <row r="4048" spans="1:23">
      <c r="A4048"/>
      <c r="B4048" t="s">
        <v>95</v>
      </c>
      <c r="C4048" t="s">
        <v>95</v>
      </c>
      <c r="D4048" t="s">
        <v>33</v>
      </c>
      <c r="E4048" t="s">
        <v>34</v>
      </c>
      <c r="F4048" t="str">
        <f>"0004336"</f>
        <v>0004336</v>
      </c>
      <c r="G4048">
        <v>1</v>
      </c>
      <c r="H4048" t="str">
        <f>"00000000"</f>
        <v>00000000</v>
      </c>
      <c r="I4048" t="s">
        <v>35</v>
      </c>
      <c r="J4048"/>
      <c r="K4048">
        <v>25.95</v>
      </c>
      <c r="L4048">
        <v>1.75</v>
      </c>
      <c r="M4048"/>
      <c r="N4048"/>
      <c r="O4048">
        <v>4.67</v>
      </c>
      <c r="P4048">
        <v>0.2</v>
      </c>
      <c r="Q4048">
        <v>32.57</v>
      </c>
      <c r="R4048"/>
      <c r="S4048"/>
      <c r="T4048"/>
      <c r="U4048"/>
      <c r="V4048"/>
      <c r="W4048">
        <v>18</v>
      </c>
    </row>
    <row r="4049" spans="1:23">
      <c r="A4049"/>
      <c r="B4049" t="s">
        <v>95</v>
      </c>
      <c r="C4049" t="s">
        <v>95</v>
      </c>
      <c r="D4049" t="s">
        <v>33</v>
      </c>
      <c r="E4049" t="s">
        <v>34</v>
      </c>
      <c r="F4049" t="str">
        <f>"0004337"</f>
        <v>0004337</v>
      </c>
      <c r="G4049">
        <v>1</v>
      </c>
      <c r="H4049" t="str">
        <f>"00000000"</f>
        <v>00000000</v>
      </c>
      <c r="I4049" t="s">
        <v>35</v>
      </c>
      <c r="J4049"/>
      <c r="K4049">
        <v>11.65</v>
      </c>
      <c r="L4049">
        <v>7.62</v>
      </c>
      <c r="M4049"/>
      <c r="N4049"/>
      <c r="O4049">
        <v>2.1</v>
      </c>
      <c r="P4049">
        <v>0.2</v>
      </c>
      <c r="Q4049">
        <v>21.57</v>
      </c>
      <c r="R4049"/>
      <c r="S4049"/>
      <c r="T4049"/>
      <c r="U4049"/>
      <c r="V4049"/>
      <c r="W4049">
        <v>18</v>
      </c>
    </row>
    <row r="4050" spans="1:23">
      <c r="A4050"/>
      <c r="B4050" t="s">
        <v>95</v>
      </c>
      <c r="C4050" t="s">
        <v>95</v>
      </c>
      <c r="D4050" t="s">
        <v>33</v>
      </c>
      <c r="E4050" t="s">
        <v>34</v>
      </c>
      <c r="F4050" t="str">
        <f>"0004338"</f>
        <v>0004338</v>
      </c>
      <c r="G4050">
        <v>1</v>
      </c>
      <c r="H4050" t="str">
        <f>"00000000"</f>
        <v>00000000</v>
      </c>
      <c r="I4050" t="s">
        <v>35</v>
      </c>
      <c r="J4050"/>
      <c r="K4050">
        <v>4.24</v>
      </c>
      <c r="L4050">
        <v>0.0</v>
      </c>
      <c r="M4050"/>
      <c r="N4050"/>
      <c r="O4050">
        <v>0.76</v>
      </c>
      <c r="P4050">
        <v>0.0</v>
      </c>
      <c r="Q4050">
        <v>5.0</v>
      </c>
      <c r="R4050"/>
      <c r="S4050"/>
      <c r="T4050"/>
      <c r="U4050"/>
      <c r="V4050"/>
      <c r="W4050">
        <v>18</v>
      </c>
    </row>
    <row r="4051" spans="1:23">
      <c r="A4051"/>
      <c r="B4051" t="s">
        <v>95</v>
      </c>
      <c r="C4051" t="s">
        <v>95</v>
      </c>
      <c r="D4051" t="s">
        <v>33</v>
      </c>
      <c r="E4051" t="s">
        <v>34</v>
      </c>
      <c r="F4051" t="str">
        <f>"0004339"</f>
        <v>0004339</v>
      </c>
      <c r="G4051">
        <v>1</v>
      </c>
      <c r="H4051" t="str">
        <f>"00000000"</f>
        <v>00000000</v>
      </c>
      <c r="I4051" t="s">
        <v>35</v>
      </c>
      <c r="J4051"/>
      <c r="K4051">
        <v>7.43</v>
      </c>
      <c r="L4051">
        <v>1.95</v>
      </c>
      <c r="M4051"/>
      <c r="N4051"/>
      <c r="O4051">
        <v>1.34</v>
      </c>
      <c r="P4051">
        <v>0.2</v>
      </c>
      <c r="Q4051">
        <v>10.92</v>
      </c>
      <c r="R4051"/>
      <c r="S4051"/>
      <c r="T4051"/>
      <c r="U4051"/>
      <c r="V4051"/>
      <c r="W4051">
        <v>18</v>
      </c>
    </row>
    <row r="4052" spans="1:23">
      <c r="A4052"/>
      <c r="B4052" t="s">
        <v>95</v>
      </c>
      <c r="C4052" t="s">
        <v>95</v>
      </c>
      <c r="D4052" t="s">
        <v>33</v>
      </c>
      <c r="E4052" t="s">
        <v>34</v>
      </c>
      <c r="F4052" t="str">
        <f>"0004340"</f>
        <v>0004340</v>
      </c>
      <c r="G4052">
        <v>1</v>
      </c>
      <c r="H4052" t="str">
        <f>"00000000"</f>
        <v>00000000</v>
      </c>
      <c r="I4052" t="s">
        <v>35</v>
      </c>
      <c r="J4052"/>
      <c r="K4052">
        <v>12.29</v>
      </c>
      <c r="L4052">
        <v>0.0</v>
      </c>
      <c r="M4052"/>
      <c r="N4052"/>
      <c r="O4052">
        <v>2.21</v>
      </c>
      <c r="P4052">
        <v>0.0</v>
      </c>
      <c r="Q4052">
        <v>14.5</v>
      </c>
      <c r="R4052"/>
      <c r="S4052"/>
      <c r="T4052"/>
      <c r="U4052"/>
      <c r="V4052"/>
      <c r="W4052">
        <v>18</v>
      </c>
    </row>
    <row r="4053" spans="1:23">
      <c r="A4053"/>
      <c r="B4053" t="s">
        <v>95</v>
      </c>
      <c r="C4053" t="s">
        <v>95</v>
      </c>
      <c r="D4053" t="s">
        <v>33</v>
      </c>
      <c r="E4053" t="s">
        <v>34</v>
      </c>
      <c r="F4053" t="str">
        <f>"0004341"</f>
        <v>0004341</v>
      </c>
      <c r="G4053">
        <v>1</v>
      </c>
      <c r="H4053" t="str">
        <f>"00000000"</f>
        <v>00000000</v>
      </c>
      <c r="I4053" t="s">
        <v>35</v>
      </c>
      <c r="J4053"/>
      <c r="K4053">
        <v>0.02</v>
      </c>
      <c r="L4053">
        <v>0.0</v>
      </c>
      <c r="M4053"/>
      <c r="N4053"/>
      <c r="O4053">
        <v>0.0</v>
      </c>
      <c r="P4053">
        <v>0.2</v>
      </c>
      <c r="Q4053">
        <v>0.22</v>
      </c>
      <c r="R4053"/>
      <c r="S4053"/>
      <c r="T4053"/>
      <c r="U4053"/>
      <c r="V4053"/>
      <c r="W4053">
        <v>18</v>
      </c>
    </row>
    <row r="4054" spans="1:23">
      <c r="A4054"/>
      <c r="B4054" t="s">
        <v>95</v>
      </c>
      <c r="C4054" t="s">
        <v>95</v>
      </c>
      <c r="D4054" t="s">
        <v>33</v>
      </c>
      <c r="E4054" t="s">
        <v>34</v>
      </c>
      <c r="F4054" t="str">
        <f>"0004342"</f>
        <v>0004342</v>
      </c>
      <c r="G4054">
        <v>1</v>
      </c>
      <c r="H4054" t="str">
        <f>"00000000"</f>
        <v>00000000</v>
      </c>
      <c r="I4054" t="s">
        <v>35</v>
      </c>
      <c r="J4054"/>
      <c r="K4054">
        <v>1.61</v>
      </c>
      <c r="L4054">
        <v>0.0</v>
      </c>
      <c r="M4054"/>
      <c r="N4054"/>
      <c r="O4054">
        <v>0.29</v>
      </c>
      <c r="P4054">
        <v>0.0</v>
      </c>
      <c r="Q4054">
        <v>1.9</v>
      </c>
      <c r="R4054"/>
      <c r="S4054"/>
      <c r="T4054"/>
      <c r="U4054"/>
      <c r="V4054"/>
      <c r="W4054">
        <v>18</v>
      </c>
    </row>
    <row r="4055" spans="1:23">
      <c r="A4055"/>
      <c r="B4055" t="s">
        <v>95</v>
      </c>
      <c r="C4055" t="s">
        <v>95</v>
      </c>
      <c r="D4055" t="s">
        <v>33</v>
      </c>
      <c r="E4055" t="s">
        <v>34</v>
      </c>
      <c r="F4055" t="str">
        <f>"0004343"</f>
        <v>0004343</v>
      </c>
      <c r="G4055">
        <v>1</v>
      </c>
      <c r="H4055" t="str">
        <f>"00000000"</f>
        <v>00000000</v>
      </c>
      <c r="I4055" t="s">
        <v>35</v>
      </c>
      <c r="J4055"/>
      <c r="K4055">
        <v>13.58</v>
      </c>
      <c r="L4055">
        <v>0.0</v>
      </c>
      <c r="M4055"/>
      <c r="N4055"/>
      <c r="O4055">
        <v>2.44</v>
      </c>
      <c r="P4055">
        <v>0.2</v>
      </c>
      <c r="Q4055">
        <v>16.22</v>
      </c>
      <c r="R4055"/>
      <c r="S4055"/>
      <c r="T4055"/>
      <c r="U4055"/>
      <c r="V4055"/>
      <c r="W4055">
        <v>18</v>
      </c>
    </row>
    <row r="4056" spans="1:23">
      <c r="A4056"/>
      <c r="B4056" t="s">
        <v>95</v>
      </c>
      <c r="C4056" t="s">
        <v>95</v>
      </c>
      <c r="D4056" t="s">
        <v>33</v>
      </c>
      <c r="E4056" t="s">
        <v>34</v>
      </c>
      <c r="F4056" t="str">
        <f>"0004344"</f>
        <v>0004344</v>
      </c>
      <c r="G4056">
        <v>1</v>
      </c>
      <c r="H4056" t="str">
        <f>"00000000"</f>
        <v>00000000</v>
      </c>
      <c r="I4056" t="s">
        <v>35</v>
      </c>
      <c r="J4056"/>
      <c r="K4056">
        <v>38.21</v>
      </c>
      <c r="L4056">
        <v>0.0</v>
      </c>
      <c r="M4056"/>
      <c r="N4056"/>
      <c r="O4056">
        <v>6.88</v>
      </c>
      <c r="P4056">
        <v>0.0</v>
      </c>
      <c r="Q4056">
        <v>45.09</v>
      </c>
      <c r="R4056"/>
      <c r="S4056"/>
      <c r="T4056"/>
      <c r="U4056"/>
      <c r="V4056"/>
      <c r="W4056">
        <v>18</v>
      </c>
    </row>
    <row r="4057" spans="1:23">
      <c r="A4057"/>
      <c r="B4057" t="s">
        <v>95</v>
      </c>
      <c r="C4057" t="s">
        <v>95</v>
      </c>
      <c r="D4057" t="s">
        <v>33</v>
      </c>
      <c r="E4057" t="s">
        <v>34</v>
      </c>
      <c r="F4057" t="str">
        <f>"0004345"</f>
        <v>0004345</v>
      </c>
      <c r="G4057">
        <v>1</v>
      </c>
      <c r="H4057" t="str">
        <f>"00000000"</f>
        <v>00000000</v>
      </c>
      <c r="I4057" t="s">
        <v>35</v>
      </c>
      <c r="J4057"/>
      <c r="K4057">
        <v>4.15</v>
      </c>
      <c r="L4057">
        <v>0.0</v>
      </c>
      <c r="M4057"/>
      <c r="N4057"/>
      <c r="O4057">
        <v>0.75</v>
      </c>
      <c r="P4057">
        <v>0.0</v>
      </c>
      <c r="Q4057">
        <v>4.9</v>
      </c>
      <c r="R4057"/>
      <c r="S4057"/>
      <c r="T4057"/>
      <c r="U4057"/>
      <c r="V4057"/>
      <c r="W4057">
        <v>18</v>
      </c>
    </row>
    <row r="4058" spans="1:23">
      <c r="A4058"/>
      <c r="B4058" t="s">
        <v>95</v>
      </c>
      <c r="C4058" t="s">
        <v>95</v>
      </c>
      <c r="D4058" t="s">
        <v>33</v>
      </c>
      <c r="E4058" t="s">
        <v>34</v>
      </c>
      <c r="F4058" t="str">
        <f>"0004346"</f>
        <v>0004346</v>
      </c>
      <c r="G4058">
        <v>1</v>
      </c>
      <c r="H4058" t="str">
        <f>"00000000"</f>
        <v>00000000</v>
      </c>
      <c r="I4058" t="s">
        <v>35</v>
      </c>
      <c r="J4058"/>
      <c r="K4058">
        <v>1.27</v>
      </c>
      <c r="L4058">
        <v>0.0</v>
      </c>
      <c r="M4058"/>
      <c r="N4058"/>
      <c r="O4058">
        <v>0.23</v>
      </c>
      <c r="P4058">
        <v>0.0</v>
      </c>
      <c r="Q4058">
        <v>1.5</v>
      </c>
      <c r="R4058"/>
      <c r="S4058"/>
      <c r="T4058"/>
      <c r="U4058"/>
      <c r="V4058"/>
      <c r="W4058">
        <v>18</v>
      </c>
    </row>
    <row r="4059" spans="1:23">
      <c r="A4059"/>
      <c r="B4059" t="s">
        <v>95</v>
      </c>
      <c r="C4059" t="s">
        <v>95</v>
      </c>
      <c r="D4059" t="s">
        <v>33</v>
      </c>
      <c r="E4059" t="s">
        <v>34</v>
      </c>
      <c r="F4059" t="str">
        <f>"0004347"</f>
        <v>0004347</v>
      </c>
      <c r="G4059">
        <v>1</v>
      </c>
      <c r="H4059" t="str">
        <f>"00000000"</f>
        <v>00000000</v>
      </c>
      <c r="I4059" t="s">
        <v>35</v>
      </c>
      <c r="J4059"/>
      <c r="K4059">
        <v>6.95</v>
      </c>
      <c r="L4059">
        <v>0.0</v>
      </c>
      <c r="M4059"/>
      <c r="N4059"/>
      <c r="O4059">
        <v>1.25</v>
      </c>
      <c r="P4059">
        <v>0.0</v>
      </c>
      <c r="Q4059">
        <v>8.2</v>
      </c>
      <c r="R4059"/>
      <c r="S4059"/>
      <c r="T4059"/>
      <c r="U4059"/>
      <c r="V4059"/>
      <c r="W4059">
        <v>18</v>
      </c>
    </row>
    <row r="4060" spans="1:23">
      <c r="A4060"/>
      <c r="B4060" t="s">
        <v>95</v>
      </c>
      <c r="C4060" t="s">
        <v>95</v>
      </c>
      <c r="D4060" t="s">
        <v>33</v>
      </c>
      <c r="E4060" t="s">
        <v>34</v>
      </c>
      <c r="F4060" t="str">
        <f>"0004348"</f>
        <v>0004348</v>
      </c>
      <c r="G4060">
        <v>1</v>
      </c>
      <c r="H4060" t="str">
        <f>"00000000"</f>
        <v>00000000</v>
      </c>
      <c r="I4060" t="s">
        <v>35</v>
      </c>
      <c r="J4060"/>
      <c r="K4060">
        <v>4.85</v>
      </c>
      <c r="L4060">
        <v>0.0</v>
      </c>
      <c r="M4060"/>
      <c r="N4060"/>
      <c r="O4060">
        <v>0.87</v>
      </c>
      <c r="P4060">
        <v>0.2</v>
      </c>
      <c r="Q4060">
        <v>5.92</v>
      </c>
      <c r="R4060"/>
      <c r="S4060"/>
      <c r="T4060"/>
      <c r="U4060"/>
      <c r="V4060"/>
      <c r="W4060">
        <v>18</v>
      </c>
    </row>
    <row r="4061" spans="1:23">
      <c r="A4061"/>
      <c r="B4061" t="s">
        <v>95</v>
      </c>
      <c r="C4061" t="s">
        <v>95</v>
      </c>
      <c r="D4061" t="s">
        <v>33</v>
      </c>
      <c r="E4061" t="s">
        <v>34</v>
      </c>
      <c r="F4061" t="str">
        <f>"0004349"</f>
        <v>0004349</v>
      </c>
      <c r="G4061">
        <v>1</v>
      </c>
      <c r="H4061" t="str">
        <f>"00000000"</f>
        <v>00000000</v>
      </c>
      <c r="I4061" t="s">
        <v>35</v>
      </c>
      <c r="J4061"/>
      <c r="K4061">
        <v>13.22</v>
      </c>
      <c r="L4061">
        <v>0.0</v>
      </c>
      <c r="M4061"/>
      <c r="N4061"/>
      <c r="O4061">
        <v>2.38</v>
      </c>
      <c r="P4061">
        <v>0.0</v>
      </c>
      <c r="Q4061">
        <v>15.6</v>
      </c>
      <c r="R4061"/>
      <c r="S4061"/>
      <c r="T4061"/>
      <c r="U4061"/>
      <c r="V4061"/>
      <c r="W4061">
        <v>18</v>
      </c>
    </row>
    <row r="4062" spans="1:23">
      <c r="A4062"/>
      <c r="B4062" t="s">
        <v>95</v>
      </c>
      <c r="C4062" t="s">
        <v>95</v>
      </c>
      <c r="D4062" t="s">
        <v>33</v>
      </c>
      <c r="E4062" t="s">
        <v>34</v>
      </c>
      <c r="F4062" t="str">
        <f>"0004350"</f>
        <v>0004350</v>
      </c>
      <c r="G4062">
        <v>1</v>
      </c>
      <c r="H4062" t="str">
        <f>"00000000"</f>
        <v>00000000</v>
      </c>
      <c r="I4062" t="s">
        <v>35</v>
      </c>
      <c r="J4062"/>
      <c r="K4062">
        <v>1.02</v>
      </c>
      <c r="L4062">
        <v>4.8</v>
      </c>
      <c r="M4062"/>
      <c r="N4062"/>
      <c r="O4062">
        <v>0.18</v>
      </c>
      <c r="P4062">
        <v>0.0</v>
      </c>
      <c r="Q4062">
        <v>6.0</v>
      </c>
      <c r="R4062"/>
      <c r="S4062"/>
      <c r="T4062"/>
      <c r="U4062"/>
      <c r="V4062"/>
      <c r="W4062">
        <v>18</v>
      </c>
    </row>
    <row r="4063" spans="1:23">
      <c r="A4063"/>
      <c r="B4063" t="s">
        <v>95</v>
      </c>
      <c r="C4063" t="s">
        <v>95</v>
      </c>
      <c r="D4063" t="s">
        <v>33</v>
      </c>
      <c r="E4063" t="s">
        <v>34</v>
      </c>
      <c r="F4063" t="str">
        <f>"0004351"</f>
        <v>0004351</v>
      </c>
      <c r="G4063">
        <v>1</v>
      </c>
      <c r="H4063" t="str">
        <f>"00000000"</f>
        <v>00000000</v>
      </c>
      <c r="I4063" t="s">
        <v>35</v>
      </c>
      <c r="J4063"/>
      <c r="K4063">
        <v>15.71</v>
      </c>
      <c r="L4063">
        <v>4.06</v>
      </c>
      <c r="M4063"/>
      <c r="N4063"/>
      <c r="O4063">
        <v>2.83</v>
      </c>
      <c r="P4063">
        <v>0.0</v>
      </c>
      <c r="Q4063">
        <v>22.6</v>
      </c>
      <c r="R4063"/>
      <c r="S4063"/>
      <c r="T4063"/>
      <c r="U4063"/>
      <c r="V4063"/>
      <c r="W4063">
        <v>18</v>
      </c>
    </row>
    <row r="4064" spans="1:23">
      <c r="A4064"/>
      <c r="B4064" t="s">
        <v>95</v>
      </c>
      <c r="C4064" t="s">
        <v>95</v>
      </c>
      <c r="D4064" t="s">
        <v>33</v>
      </c>
      <c r="E4064" t="s">
        <v>34</v>
      </c>
      <c r="F4064" t="str">
        <f>"0004352"</f>
        <v>0004352</v>
      </c>
      <c r="G4064">
        <v>1</v>
      </c>
      <c r="H4064" t="str">
        <f>"00000000"</f>
        <v>00000000</v>
      </c>
      <c r="I4064" t="s">
        <v>35</v>
      </c>
      <c r="J4064"/>
      <c r="K4064">
        <v>0.0</v>
      </c>
      <c r="L4064">
        <v>3.94</v>
      </c>
      <c r="M4064"/>
      <c r="N4064"/>
      <c r="O4064">
        <v>0.0</v>
      </c>
      <c r="P4064">
        <v>0.0</v>
      </c>
      <c r="Q4064">
        <v>3.94</v>
      </c>
      <c r="R4064"/>
      <c r="S4064"/>
      <c r="T4064"/>
      <c r="U4064"/>
      <c r="V4064"/>
      <c r="W4064">
        <v>18</v>
      </c>
    </row>
    <row r="4065" spans="1:23">
      <c r="A4065"/>
      <c r="B4065" t="s">
        <v>95</v>
      </c>
      <c r="C4065" t="s">
        <v>95</v>
      </c>
      <c r="D4065" t="s">
        <v>33</v>
      </c>
      <c r="E4065" t="s">
        <v>34</v>
      </c>
      <c r="F4065" t="str">
        <f>"0004353"</f>
        <v>0004353</v>
      </c>
      <c r="G4065">
        <v>1</v>
      </c>
      <c r="H4065" t="str">
        <f>"00000000"</f>
        <v>00000000</v>
      </c>
      <c r="I4065" t="s">
        <v>35</v>
      </c>
      <c r="J4065"/>
      <c r="K4065">
        <v>14.15</v>
      </c>
      <c r="L4065">
        <v>0.0</v>
      </c>
      <c r="M4065"/>
      <c r="N4065"/>
      <c r="O4065">
        <v>2.55</v>
      </c>
      <c r="P4065">
        <v>0.0</v>
      </c>
      <c r="Q4065">
        <v>16.7</v>
      </c>
      <c r="R4065"/>
      <c r="S4065"/>
      <c r="T4065"/>
      <c r="U4065"/>
      <c r="V4065"/>
      <c r="W4065">
        <v>18</v>
      </c>
    </row>
    <row r="4066" spans="1:23">
      <c r="A4066"/>
      <c r="B4066" t="s">
        <v>95</v>
      </c>
      <c r="C4066" t="s">
        <v>95</v>
      </c>
      <c r="D4066" t="s">
        <v>33</v>
      </c>
      <c r="E4066" t="s">
        <v>34</v>
      </c>
      <c r="F4066" t="str">
        <f>"0004354"</f>
        <v>0004354</v>
      </c>
      <c r="G4066">
        <v>1</v>
      </c>
      <c r="H4066" t="str">
        <f>"00000000"</f>
        <v>00000000</v>
      </c>
      <c r="I4066" t="s">
        <v>35</v>
      </c>
      <c r="J4066"/>
      <c r="K4066">
        <v>0.02</v>
      </c>
      <c r="L4066">
        <v>4.93</v>
      </c>
      <c r="M4066"/>
      <c r="N4066"/>
      <c r="O4066">
        <v>0.0</v>
      </c>
      <c r="P4066">
        <v>0.2</v>
      </c>
      <c r="Q4066">
        <v>5.15</v>
      </c>
      <c r="R4066"/>
      <c r="S4066"/>
      <c r="T4066"/>
      <c r="U4066"/>
      <c r="V4066"/>
      <c r="W4066">
        <v>18</v>
      </c>
    </row>
    <row r="4067" spans="1:23">
      <c r="A4067"/>
      <c r="B4067" t="s">
        <v>95</v>
      </c>
      <c r="C4067" t="s">
        <v>95</v>
      </c>
      <c r="D4067" t="s">
        <v>33</v>
      </c>
      <c r="E4067" t="s">
        <v>34</v>
      </c>
      <c r="F4067" t="str">
        <f>"0004355"</f>
        <v>0004355</v>
      </c>
      <c r="G4067">
        <v>1</v>
      </c>
      <c r="H4067" t="str">
        <f>"00000000"</f>
        <v>00000000</v>
      </c>
      <c r="I4067" t="s">
        <v>35</v>
      </c>
      <c r="J4067"/>
      <c r="K4067">
        <v>6.63</v>
      </c>
      <c r="L4067">
        <v>2.69</v>
      </c>
      <c r="M4067"/>
      <c r="N4067"/>
      <c r="O4067">
        <v>1.19</v>
      </c>
      <c r="P4067">
        <v>0.0</v>
      </c>
      <c r="Q4067">
        <v>10.51</v>
      </c>
      <c r="R4067"/>
      <c r="S4067"/>
      <c r="T4067"/>
      <c r="U4067"/>
      <c r="V4067"/>
      <c r="W4067">
        <v>18</v>
      </c>
    </row>
    <row r="4068" spans="1:23">
      <c r="A4068"/>
      <c r="B4068" t="s">
        <v>95</v>
      </c>
      <c r="C4068" t="s">
        <v>95</v>
      </c>
      <c r="D4068" t="s">
        <v>33</v>
      </c>
      <c r="E4068" t="s">
        <v>34</v>
      </c>
      <c r="F4068" t="str">
        <f>"0004356"</f>
        <v>0004356</v>
      </c>
      <c r="G4068">
        <v>1</v>
      </c>
      <c r="H4068" t="str">
        <f>"00000000"</f>
        <v>00000000</v>
      </c>
      <c r="I4068" t="s">
        <v>35</v>
      </c>
      <c r="J4068"/>
      <c r="K4068">
        <v>8.15</v>
      </c>
      <c r="L4068">
        <v>0.0</v>
      </c>
      <c r="M4068"/>
      <c r="N4068"/>
      <c r="O4068">
        <v>1.47</v>
      </c>
      <c r="P4068">
        <v>0.2</v>
      </c>
      <c r="Q4068">
        <v>9.82</v>
      </c>
      <c r="R4068"/>
      <c r="S4068"/>
      <c r="T4068"/>
      <c r="U4068"/>
      <c r="V4068"/>
      <c r="W4068">
        <v>18</v>
      </c>
    </row>
    <row r="4069" spans="1:23">
      <c r="A4069"/>
      <c r="B4069" t="s">
        <v>95</v>
      </c>
      <c r="C4069" t="s">
        <v>95</v>
      </c>
      <c r="D4069" t="s">
        <v>33</v>
      </c>
      <c r="E4069" t="s">
        <v>34</v>
      </c>
      <c r="F4069" t="str">
        <f>"0004357"</f>
        <v>0004357</v>
      </c>
      <c r="G4069">
        <v>1</v>
      </c>
      <c r="H4069" t="str">
        <f>"00000000"</f>
        <v>00000000</v>
      </c>
      <c r="I4069" t="s">
        <v>35</v>
      </c>
      <c r="J4069"/>
      <c r="K4069">
        <v>12.31</v>
      </c>
      <c r="L4069">
        <v>0.0</v>
      </c>
      <c r="M4069"/>
      <c r="N4069"/>
      <c r="O4069">
        <v>2.21</v>
      </c>
      <c r="P4069">
        <v>0.2</v>
      </c>
      <c r="Q4069">
        <v>14.72</v>
      </c>
      <c r="R4069"/>
      <c r="S4069"/>
      <c r="T4069"/>
      <c r="U4069"/>
      <c r="V4069"/>
      <c r="W4069">
        <v>18</v>
      </c>
    </row>
    <row r="4070" spans="1:23">
      <c r="A4070"/>
      <c r="B4070" t="s">
        <v>95</v>
      </c>
      <c r="C4070" t="s">
        <v>95</v>
      </c>
      <c r="D4070" t="s">
        <v>33</v>
      </c>
      <c r="E4070" t="s">
        <v>34</v>
      </c>
      <c r="F4070" t="str">
        <f>"0004358"</f>
        <v>0004358</v>
      </c>
      <c r="G4070">
        <v>1</v>
      </c>
      <c r="H4070" t="str">
        <f>"00000000"</f>
        <v>00000000</v>
      </c>
      <c r="I4070" t="s">
        <v>35</v>
      </c>
      <c r="J4070"/>
      <c r="K4070">
        <v>2.12</v>
      </c>
      <c r="L4070">
        <v>0.0</v>
      </c>
      <c r="M4070"/>
      <c r="N4070"/>
      <c r="O4070">
        <v>0.38</v>
      </c>
      <c r="P4070">
        <v>0.0</v>
      </c>
      <c r="Q4070">
        <v>2.5</v>
      </c>
      <c r="R4070"/>
      <c r="S4070"/>
      <c r="T4070"/>
      <c r="U4070"/>
      <c r="V4070"/>
      <c r="W4070">
        <v>18</v>
      </c>
    </row>
    <row r="4071" spans="1:23">
      <c r="A4071"/>
      <c r="B4071" t="s">
        <v>95</v>
      </c>
      <c r="C4071" t="s">
        <v>95</v>
      </c>
      <c r="D4071" t="s">
        <v>33</v>
      </c>
      <c r="E4071" t="s">
        <v>34</v>
      </c>
      <c r="F4071" t="str">
        <f>"0004359"</f>
        <v>0004359</v>
      </c>
      <c r="G4071">
        <v>1</v>
      </c>
      <c r="H4071" t="str">
        <f>"00000000"</f>
        <v>00000000</v>
      </c>
      <c r="I4071" t="s">
        <v>35</v>
      </c>
      <c r="J4071"/>
      <c r="K4071">
        <v>0.93</v>
      </c>
      <c r="L4071">
        <v>0.75</v>
      </c>
      <c r="M4071"/>
      <c r="N4071"/>
      <c r="O4071">
        <v>0.17</v>
      </c>
      <c r="P4071">
        <v>0.0</v>
      </c>
      <c r="Q4071">
        <v>1.85</v>
      </c>
      <c r="R4071"/>
      <c r="S4071"/>
      <c r="T4071"/>
      <c r="U4071"/>
      <c r="V4071"/>
      <c r="W4071">
        <v>18</v>
      </c>
    </row>
    <row r="4072" spans="1:23">
      <c r="A4072"/>
      <c r="B4072" t="s">
        <v>95</v>
      </c>
      <c r="C4072" t="s">
        <v>95</v>
      </c>
      <c r="D4072" t="s">
        <v>33</v>
      </c>
      <c r="E4072" t="s">
        <v>34</v>
      </c>
      <c r="F4072" t="str">
        <f>"0004360"</f>
        <v>0004360</v>
      </c>
      <c r="G4072">
        <v>1</v>
      </c>
      <c r="H4072" t="str">
        <f>"00000000"</f>
        <v>00000000</v>
      </c>
      <c r="I4072" t="s">
        <v>35</v>
      </c>
      <c r="J4072"/>
      <c r="K4072">
        <v>12.88</v>
      </c>
      <c r="L4072">
        <v>0.0</v>
      </c>
      <c r="M4072"/>
      <c r="N4072"/>
      <c r="O4072">
        <v>2.32</v>
      </c>
      <c r="P4072">
        <v>0.2</v>
      </c>
      <c r="Q4072">
        <v>15.4</v>
      </c>
      <c r="R4072"/>
      <c r="S4072"/>
      <c r="T4072"/>
      <c r="U4072"/>
      <c r="V4072"/>
      <c r="W4072">
        <v>18</v>
      </c>
    </row>
    <row r="4073" spans="1:23">
      <c r="A4073"/>
      <c r="B4073" t="s">
        <v>95</v>
      </c>
      <c r="C4073" t="s">
        <v>95</v>
      </c>
      <c r="D4073" t="s">
        <v>33</v>
      </c>
      <c r="E4073" t="s">
        <v>34</v>
      </c>
      <c r="F4073" t="str">
        <f>"0004361"</f>
        <v>0004361</v>
      </c>
      <c r="G4073">
        <v>1</v>
      </c>
      <c r="H4073" t="str">
        <f>"00000000"</f>
        <v>00000000</v>
      </c>
      <c r="I4073" t="s">
        <v>35</v>
      </c>
      <c r="J4073"/>
      <c r="K4073">
        <v>7.37</v>
      </c>
      <c r="L4073">
        <v>6.38</v>
      </c>
      <c r="M4073"/>
      <c r="N4073"/>
      <c r="O4073">
        <v>1.33</v>
      </c>
      <c r="P4073">
        <v>0.2</v>
      </c>
      <c r="Q4073">
        <v>15.28</v>
      </c>
      <c r="R4073"/>
      <c r="S4073"/>
      <c r="T4073"/>
      <c r="U4073"/>
      <c r="V4073"/>
      <c r="W4073">
        <v>18</v>
      </c>
    </row>
    <row r="4074" spans="1:23">
      <c r="A4074"/>
      <c r="B4074" t="s">
        <v>95</v>
      </c>
      <c r="C4074" t="s">
        <v>95</v>
      </c>
      <c r="D4074" t="s">
        <v>33</v>
      </c>
      <c r="E4074" t="s">
        <v>34</v>
      </c>
      <c r="F4074" t="str">
        <f>"0004362"</f>
        <v>0004362</v>
      </c>
      <c r="G4074">
        <v>1</v>
      </c>
      <c r="H4074" t="str">
        <f>"00000000"</f>
        <v>00000000</v>
      </c>
      <c r="I4074" t="s">
        <v>35</v>
      </c>
      <c r="J4074"/>
      <c r="K4074">
        <v>6.36</v>
      </c>
      <c r="L4074">
        <v>2.14</v>
      </c>
      <c r="M4074"/>
      <c r="N4074"/>
      <c r="O4074">
        <v>1.14</v>
      </c>
      <c r="P4074">
        <v>0.0</v>
      </c>
      <c r="Q4074">
        <v>9.64</v>
      </c>
      <c r="R4074"/>
      <c r="S4074"/>
      <c r="T4074"/>
      <c r="U4074"/>
      <c r="V4074"/>
      <c r="W4074">
        <v>18</v>
      </c>
    </row>
    <row r="4075" spans="1:23">
      <c r="A4075"/>
      <c r="B4075" t="s">
        <v>95</v>
      </c>
      <c r="C4075" t="s">
        <v>95</v>
      </c>
      <c r="D4075" t="s">
        <v>33</v>
      </c>
      <c r="E4075" t="s">
        <v>34</v>
      </c>
      <c r="F4075" t="str">
        <f>"0004363"</f>
        <v>0004363</v>
      </c>
      <c r="G4075">
        <v>1</v>
      </c>
      <c r="H4075" t="str">
        <f>"00000000"</f>
        <v>00000000</v>
      </c>
      <c r="I4075" t="s">
        <v>35</v>
      </c>
      <c r="J4075"/>
      <c r="K4075">
        <v>9.31</v>
      </c>
      <c r="L4075">
        <v>0.0</v>
      </c>
      <c r="M4075"/>
      <c r="N4075"/>
      <c r="O4075">
        <v>1.68</v>
      </c>
      <c r="P4075">
        <v>0.0</v>
      </c>
      <c r="Q4075">
        <v>10.99</v>
      </c>
      <c r="R4075"/>
      <c r="S4075"/>
      <c r="T4075"/>
      <c r="U4075"/>
      <c r="V4075"/>
      <c r="W4075">
        <v>18</v>
      </c>
    </row>
    <row r="4076" spans="1:23">
      <c r="A4076"/>
      <c r="B4076" t="s">
        <v>95</v>
      </c>
      <c r="C4076" t="s">
        <v>95</v>
      </c>
      <c r="D4076" t="s">
        <v>33</v>
      </c>
      <c r="E4076" t="s">
        <v>34</v>
      </c>
      <c r="F4076" t="str">
        <f>"0004364"</f>
        <v>0004364</v>
      </c>
      <c r="G4076">
        <v>1</v>
      </c>
      <c r="H4076" t="str">
        <f>"00000000"</f>
        <v>00000000</v>
      </c>
      <c r="I4076" t="s">
        <v>35</v>
      </c>
      <c r="J4076"/>
      <c r="K4076">
        <v>84.23</v>
      </c>
      <c r="L4076">
        <v>8.43</v>
      </c>
      <c r="M4076"/>
      <c r="N4076"/>
      <c r="O4076">
        <v>15.16</v>
      </c>
      <c r="P4076">
        <v>0.2</v>
      </c>
      <c r="Q4076">
        <v>108.02</v>
      </c>
      <c r="R4076"/>
      <c r="S4076"/>
      <c r="T4076"/>
      <c r="U4076"/>
      <c r="V4076"/>
      <c r="W4076">
        <v>18</v>
      </c>
    </row>
    <row r="4077" spans="1:23">
      <c r="A4077"/>
      <c r="B4077" t="s">
        <v>95</v>
      </c>
      <c r="C4077" t="s">
        <v>95</v>
      </c>
      <c r="D4077" t="s">
        <v>33</v>
      </c>
      <c r="E4077" t="s">
        <v>34</v>
      </c>
      <c r="F4077" t="str">
        <f>"0004365"</f>
        <v>0004365</v>
      </c>
      <c r="G4077">
        <v>1</v>
      </c>
      <c r="H4077" t="str">
        <f>"00000000"</f>
        <v>00000000</v>
      </c>
      <c r="I4077" t="s">
        <v>35</v>
      </c>
      <c r="J4077"/>
      <c r="K4077">
        <v>2.54</v>
      </c>
      <c r="L4077">
        <v>0.0</v>
      </c>
      <c r="M4077"/>
      <c r="N4077"/>
      <c r="O4077">
        <v>0.46</v>
      </c>
      <c r="P4077">
        <v>0.0</v>
      </c>
      <c r="Q4077">
        <v>3.0</v>
      </c>
      <c r="R4077"/>
      <c r="S4077"/>
      <c r="T4077"/>
      <c r="U4077"/>
      <c r="V4077"/>
      <c r="W4077">
        <v>18</v>
      </c>
    </row>
    <row r="4078" spans="1:23">
      <c r="A4078"/>
      <c r="B4078" t="s">
        <v>95</v>
      </c>
      <c r="C4078" t="s">
        <v>95</v>
      </c>
      <c r="D4078" t="s">
        <v>33</v>
      </c>
      <c r="E4078" t="s">
        <v>34</v>
      </c>
      <c r="F4078" t="str">
        <f>"0004366"</f>
        <v>0004366</v>
      </c>
      <c r="G4078">
        <v>1</v>
      </c>
      <c r="H4078" t="str">
        <f>"00000000"</f>
        <v>00000000</v>
      </c>
      <c r="I4078" t="s">
        <v>35</v>
      </c>
      <c r="J4078"/>
      <c r="K4078">
        <v>3.39</v>
      </c>
      <c r="L4078">
        <v>1.44</v>
      </c>
      <c r="M4078"/>
      <c r="N4078"/>
      <c r="O4078">
        <v>0.61</v>
      </c>
      <c r="P4078">
        <v>0.0</v>
      </c>
      <c r="Q4078">
        <v>5.44</v>
      </c>
      <c r="R4078"/>
      <c r="S4078"/>
      <c r="T4078"/>
      <c r="U4078"/>
      <c r="V4078"/>
      <c r="W4078">
        <v>18</v>
      </c>
    </row>
    <row r="4079" spans="1:23">
      <c r="A4079"/>
      <c r="B4079" t="s">
        <v>95</v>
      </c>
      <c r="C4079" t="s">
        <v>95</v>
      </c>
      <c r="D4079" t="s">
        <v>33</v>
      </c>
      <c r="E4079" t="s">
        <v>34</v>
      </c>
      <c r="F4079" t="str">
        <f>"0004367"</f>
        <v>0004367</v>
      </c>
      <c r="G4079">
        <v>1</v>
      </c>
      <c r="H4079" t="str">
        <f>"00000000"</f>
        <v>00000000</v>
      </c>
      <c r="I4079" t="s">
        <v>35</v>
      </c>
      <c r="J4079"/>
      <c r="K4079">
        <v>10.93</v>
      </c>
      <c r="L4079">
        <v>0.0</v>
      </c>
      <c r="M4079"/>
      <c r="N4079"/>
      <c r="O4079">
        <v>1.97</v>
      </c>
      <c r="P4079">
        <v>0.0</v>
      </c>
      <c r="Q4079">
        <v>12.9</v>
      </c>
      <c r="R4079"/>
      <c r="S4079"/>
      <c r="T4079"/>
      <c r="U4079"/>
      <c r="V4079"/>
      <c r="W4079">
        <v>18</v>
      </c>
    </row>
    <row r="4080" spans="1:23">
      <c r="A4080"/>
      <c r="B4080" t="s">
        <v>95</v>
      </c>
      <c r="C4080" t="s">
        <v>95</v>
      </c>
      <c r="D4080" t="s">
        <v>33</v>
      </c>
      <c r="E4080" t="s">
        <v>34</v>
      </c>
      <c r="F4080" t="str">
        <f>"0004368"</f>
        <v>0004368</v>
      </c>
      <c r="G4080">
        <v>1</v>
      </c>
      <c r="H4080" t="str">
        <f>"00000000"</f>
        <v>00000000</v>
      </c>
      <c r="I4080" t="s">
        <v>35</v>
      </c>
      <c r="J4080"/>
      <c r="K4080">
        <v>17.54</v>
      </c>
      <c r="L4080">
        <v>0.0</v>
      </c>
      <c r="M4080"/>
      <c r="N4080"/>
      <c r="O4080">
        <v>3.16</v>
      </c>
      <c r="P4080">
        <v>0.0</v>
      </c>
      <c r="Q4080">
        <v>20.7</v>
      </c>
      <c r="R4080"/>
      <c r="S4080"/>
      <c r="T4080"/>
      <c r="U4080"/>
      <c r="V4080"/>
      <c r="W4080">
        <v>18</v>
      </c>
    </row>
    <row r="4081" spans="1:23">
      <c r="A4081"/>
      <c r="B4081" t="s">
        <v>95</v>
      </c>
      <c r="C4081" t="s">
        <v>95</v>
      </c>
      <c r="D4081" t="s">
        <v>33</v>
      </c>
      <c r="E4081" t="s">
        <v>34</v>
      </c>
      <c r="F4081" t="str">
        <f>"0004369"</f>
        <v>0004369</v>
      </c>
      <c r="G4081">
        <v>1</v>
      </c>
      <c r="H4081" t="str">
        <f>"00000000"</f>
        <v>00000000</v>
      </c>
      <c r="I4081" t="s">
        <v>35</v>
      </c>
      <c r="J4081"/>
      <c r="K4081">
        <v>85.94</v>
      </c>
      <c r="L4081">
        <v>8.69</v>
      </c>
      <c r="M4081"/>
      <c r="N4081"/>
      <c r="O4081">
        <v>15.47</v>
      </c>
      <c r="P4081">
        <v>0.6</v>
      </c>
      <c r="Q4081">
        <v>110.7</v>
      </c>
      <c r="R4081"/>
      <c r="S4081"/>
      <c r="T4081"/>
      <c r="U4081"/>
      <c r="V4081"/>
      <c r="W4081">
        <v>18</v>
      </c>
    </row>
    <row r="4082" spans="1:23">
      <c r="A4082"/>
      <c r="B4082" t="s">
        <v>95</v>
      </c>
      <c r="C4082" t="s">
        <v>95</v>
      </c>
      <c r="D4082" t="s">
        <v>33</v>
      </c>
      <c r="E4082" t="s">
        <v>34</v>
      </c>
      <c r="F4082" t="str">
        <f>"0004370"</f>
        <v>0004370</v>
      </c>
      <c r="G4082">
        <v>1</v>
      </c>
      <c r="H4082" t="str">
        <f>"00000000"</f>
        <v>00000000</v>
      </c>
      <c r="I4082" t="s">
        <v>35</v>
      </c>
      <c r="J4082"/>
      <c r="K4082">
        <v>0.0</v>
      </c>
      <c r="L4082">
        <v>1.28</v>
      </c>
      <c r="M4082"/>
      <c r="N4082"/>
      <c r="O4082">
        <v>0.0</v>
      </c>
      <c r="P4082">
        <v>0.0</v>
      </c>
      <c r="Q4082">
        <v>1.28</v>
      </c>
      <c r="R4082"/>
      <c r="S4082"/>
      <c r="T4082"/>
      <c r="U4082"/>
      <c r="V4082"/>
      <c r="W4082">
        <v>18</v>
      </c>
    </row>
    <row r="4083" spans="1:23">
      <c r="A4083"/>
      <c r="B4083" t="s">
        <v>95</v>
      </c>
      <c r="C4083" t="s">
        <v>95</v>
      </c>
      <c r="D4083" t="s">
        <v>33</v>
      </c>
      <c r="E4083" t="s">
        <v>34</v>
      </c>
      <c r="F4083" t="str">
        <f>"0004371"</f>
        <v>0004371</v>
      </c>
      <c r="G4083">
        <v>1</v>
      </c>
      <c r="H4083" t="str">
        <f>"00000000"</f>
        <v>00000000</v>
      </c>
      <c r="I4083" t="s">
        <v>35</v>
      </c>
      <c r="J4083"/>
      <c r="K4083">
        <v>44.06</v>
      </c>
      <c r="L4083">
        <v>0.0</v>
      </c>
      <c r="M4083"/>
      <c r="N4083"/>
      <c r="O4083">
        <v>7.93</v>
      </c>
      <c r="P4083">
        <v>0.0</v>
      </c>
      <c r="Q4083">
        <v>52.0</v>
      </c>
      <c r="R4083"/>
      <c r="S4083"/>
      <c r="T4083"/>
      <c r="U4083"/>
      <c r="V4083"/>
      <c r="W4083">
        <v>18</v>
      </c>
    </row>
    <row r="4084" spans="1:23">
      <c r="A4084"/>
      <c r="B4084" t="s">
        <v>95</v>
      </c>
      <c r="C4084" t="s">
        <v>95</v>
      </c>
      <c r="D4084" t="s">
        <v>33</v>
      </c>
      <c r="E4084" t="s">
        <v>34</v>
      </c>
      <c r="F4084" t="str">
        <f>"0004372"</f>
        <v>0004372</v>
      </c>
      <c r="G4084">
        <v>1</v>
      </c>
      <c r="H4084" t="str">
        <f>"00000000"</f>
        <v>00000000</v>
      </c>
      <c r="I4084" t="s">
        <v>35</v>
      </c>
      <c r="J4084"/>
      <c r="K4084">
        <v>2.73</v>
      </c>
      <c r="L4084">
        <v>0.0</v>
      </c>
      <c r="M4084"/>
      <c r="N4084"/>
      <c r="O4084">
        <v>0.49</v>
      </c>
      <c r="P4084">
        <v>0.0</v>
      </c>
      <c r="Q4084">
        <v>3.23</v>
      </c>
      <c r="R4084"/>
      <c r="S4084"/>
      <c r="T4084"/>
      <c r="U4084"/>
      <c r="V4084"/>
      <c r="W4084">
        <v>18</v>
      </c>
    </row>
    <row r="4085" spans="1:23">
      <c r="A4085"/>
      <c r="B4085" t="s">
        <v>95</v>
      </c>
      <c r="C4085" t="s">
        <v>95</v>
      </c>
      <c r="D4085" t="s">
        <v>33</v>
      </c>
      <c r="E4085" t="s">
        <v>34</v>
      </c>
      <c r="F4085" t="str">
        <f>"0004373"</f>
        <v>0004373</v>
      </c>
      <c r="G4085">
        <v>1</v>
      </c>
      <c r="H4085" t="str">
        <f>"00000000"</f>
        <v>00000000</v>
      </c>
      <c r="I4085" t="s">
        <v>35</v>
      </c>
      <c r="J4085"/>
      <c r="K4085">
        <v>1.53</v>
      </c>
      <c r="L4085">
        <v>0.0</v>
      </c>
      <c r="M4085"/>
      <c r="N4085"/>
      <c r="O4085">
        <v>0.27</v>
      </c>
      <c r="P4085">
        <v>0.0</v>
      </c>
      <c r="Q4085">
        <v>1.8</v>
      </c>
      <c r="R4085"/>
      <c r="S4085"/>
      <c r="T4085"/>
      <c r="U4085"/>
      <c r="V4085"/>
      <c r="W4085">
        <v>18</v>
      </c>
    </row>
    <row r="4086" spans="1:23">
      <c r="A4086"/>
      <c r="B4086" t="s">
        <v>95</v>
      </c>
      <c r="C4086" t="s">
        <v>95</v>
      </c>
      <c r="D4086" t="s">
        <v>33</v>
      </c>
      <c r="E4086" t="s">
        <v>34</v>
      </c>
      <c r="F4086" t="str">
        <f>"0004374"</f>
        <v>0004374</v>
      </c>
      <c r="G4086">
        <v>1</v>
      </c>
      <c r="H4086" t="str">
        <f>"00000000"</f>
        <v>00000000</v>
      </c>
      <c r="I4086" t="s">
        <v>35</v>
      </c>
      <c r="J4086"/>
      <c r="K4086">
        <v>1.27</v>
      </c>
      <c r="L4086">
        <v>0.0</v>
      </c>
      <c r="M4086"/>
      <c r="N4086"/>
      <c r="O4086">
        <v>0.23</v>
      </c>
      <c r="P4086">
        <v>0.0</v>
      </c>
      <c r="Q4086">
        <v>1.5</v>
      </c>
      <c r="R4086"/>
      <c r="S4086"/>
      <c r="T4086"/>
      <c r="U4086"/>
      <c r="V4086"/>
      <c r="W4086">
        <v>18</v>
      </c>
    </row>
    <row r="4087" spans="1:23">
      <c r="A4087"/>
      <c r="B4087" t="s">
        <v>95</v>
      </c>
      <c r="C4087" t="s">
        <v>95</v>
      </c>
      <c r="D4087" t="s">
        <v>33</v>
      </c>
      <c r="E4087" t="s">
        <v>34</v>
      </c>
      <c r="F4087" t="str">
        <f>"0004375"</f>
        <v>0004375</v>
      </c>
      <c r="G4087">
        <v>1</v>
      </c>
      <c r="H4087" t="str">
        <f>"00000000"</f>
        <v>00000000</v>
      </c>
      <c r="I4087" t="s">
        <v>35</v>
      </c>
      <c r="J4087"/>
      <c r="K4087">
        <v>3.39</v>
      </c>
      <c r="L4087">
        <v>0.0</v>
      </c>
      <c r="M4087"/>
      <c r="N4087"/>
      <c r="O4087">
        <v>0.61</v>
      </c>
      <c r="P4087">
        <v>0.0</v>
      </c>
      <c r="Q4087">
        <v>4.0</v>
      </c>
      <c r="R4087"/>
      <c r="S4087"/>
      <c r="T4087"/>
      <c r="U4087"/>
      <c r="V4087"/>
      <c r="W4087">
        <v>18</v>
      </c>
    </row>
    <row r="4088" spans="1:23">
      <c r="A4088"/>
      <c r="B4088" t="s">
        <v>95</v>
      </c>
      <c r="C4088" t="s">
        <v>95</v>
      </c>
      <c r="D4088" t="s">
        <v>33</v>
      </c>
      <c r="E4088" t="s">
        <v>34</v>
      </c>
      <c r="F4088" t="str">
        <f>"0004376"</f>
        <v>0004376</v>
      </c>
      <c r="G4088">
        <v>1</v>
      </c>
      <c r="H4088" t="str">
        <f>"00000000"</f>
        <v>00000000</v>
      </c>
      <c r="I4088" t="s">
        <v>35</v>
      </c>
      <c r="J4088"/>
      <c r="K4088">
        <v>2.54</v>
      </c>
      <c r="L4088">
        <v>0.0</v>
      </c>
      <c r="M4088"/>
      <c r="N4088"/>
      <c r="O4088">
        <v>0.46</v>
      </c>
      <c r="P4088">
        <v>0.0</v>
      </c>
      <c r="Q4088">
        <v>3.0</v>
      </c>
      <c r="R4088"/>
      <c r="S4088"/>
      <c r="T4088"/>
      <c r="U4088"/>
      <c r="V4088"/>
      <c r="W4088">
        <v>18</v>
      </c>
    </row>
    <row r="4089" spans="1:23">
      <c r="A4089"/>
      <c r="B4089" t="s">
        <v>95</v>
      </c>
      <c r="C4089" t="s">
        <v>95</v>
      </c>
      <c r="D4089" t="s">
        <v>33</v>
      </c>
      <c r="E4089" t="s">
        <v>34</v>
      </c>
      <c r="F4089" t="str">
        <f>"0004377"</f>
        <v>0004377</v>
      </c>
      <c r="G4089">
        <v>1</v>
      </c>
      <c r="H4089" t="str">
        <f>"00000000"</f>
        <v>00000000</v>
      </c>
      <c r="I4089" t="s">
        <v>35</v>
      </c>
      <c r="J4089"/>
      <c r="K4089">
        <v>0.85</v>
      </c>
      <c r="L4089">
        <v>0.0</v>
      </c>
      <c r="M4089"/>
      <c r="N4089"/>
      <c r="O4089">
        <v>0.15</v>
      </c>
      <c r="P4089">
        <v>0.0</v>
      </c>
      <c r="Q4089">
        <v>1.0</v>
      </c>
      <c r="R4089"/>
      <c r="S4089"/>
      <c r="T4089"/>
      <c r="U4089"/>
      <c r="V4089"/>
      <c r="W4089">
        <v>18</v>
      </c>
    </row>
    <row r="4090" spans="1:23">
      <c r="A4090"/>
      <c r="B4090" t="s">
        <v>95</v>
      </c>
      <c r="C4090" t="s">
        <v>95</v>
      </c>
      <c r="D4090" t="s">
        <v>33</v>
      </c>
      <c r="E4090" t="s">
        <v>34</v>
      </c>
      <c r="F4090" t="str">
        <f>"0004378"</f>
        <v>0004378</v>
      </c>
      <c r="G4090">
        <v>1</v>
      </c>
      <c r="H4090" t="str">
        <f>"00000000"</f>
        <v>00000000</v>
      </c>
      <c r="I4090" t="s">
        <v>35</v>
      </c>
      <c r="J4090"/>
      <c r="K4090">
        <v>5.69</v>
      </c>
      <c r="L4090">
        <v>0.0</v>
      </c>
      <c r="M4090"/>
      <c r="N4090"/>
      <c r="O4090">
        <v>1.03</v>
      </c>
      <c r="P4090">
        <v>0.2</v>
      </c>
      <c r="Q4090">
        <v>6.92</v>
      </c>
      <c r="R4090"/>
      <c r="S4090"/>
      <c r="T4090"/>
      <c r="U4090"/>
      <c r="V4090"/>
      <c r="W4090">
        <v>18</v>
      </c>
    </row>
    <row r="4091" spans="1:23">
      <c r="A4091"/>
      <c r="B4091" t="s">
        <v>95</v>
      </c>
      <c r="C4091" t="s">
        <v>95</v>
      </c>
      <c r="D4091" t="s">
        <v>33</v>
      </c>
      <c r="E4091" t="s">
        <v>34</v>
      </c>
      <c r="F4091" t="str">
        <f>"0004379"</f>
        <v>0004379</v>
      </c>
      <c r="G4091">
        <v>1</v>
      </c>
      <c r="H4091" t="str">
        <f>"00000000"</f>
        <v>00000000</v>
      </c>
      <c r="I4091" t="s">
        <v>35</v>
      </c>
      <c r="J4091"/>
      <c r="K4091">
        <v>18.56</v>
      </c>
      <c r="L4091">
        <v>0.0</v>
      </c>
      <c r="M4091"/>
      <c r="N4091"/>
      <c r="O4091">
        <v>3.34</v>
      </c>
      <c r="P4091">
        <v>0.0</v>
      </c>
      <c r="Q4091">
        <v>21.9</v>
      </c>
      <c r="R4091"/>
      <c r="S4091"/>
      <c r="T4091"/>
      <c r="U4091"/>
      <c r="V4091"/>
      <c r="W4091">
        <v>18</v>
      </c>
    </row>
    <row r="4092" spans="1:23">
      <c r="A4092"/>
      <c r="B4092" t="s">
        <v>95</v>
      </c>
      <c r="C4092" t="s">
        <v>95</v>
      </c>
      <c r="D4092" t="s">
        <v>33</v>
      </c>
      <c r="E4092" t="s">
        <v>34</v>
      </c>
      <c r="F4092" t="str">
        <f>"0004380"</f>
        <v>0004380</v>
      </c>
      <c r="G4092">
        <v>1</v>
      </c>
      <c r="H4092" t="str">
        <f>"00000000"</f>
        <v>00000000</v>
      </c>
      <c r="I4092" t="s">
        <v>35</v>
      </c>
      <c r="J4092"/>
      <c r="K4092">
        <v>31.03</v>
      </c>
      <c r="L4092">
        <v>5.33</v>
      </c>
      <c r="M4092"/>
      <c r="N4092"/>
      <c r="O4092">
        <v>5.59</v>
      </c>
      <c r="P4092">
        <v>0.0</v>
      </c>
      <c r="Q4092">
        <v>41.95</v>
      </c>
      <c r="R4092"/>
      <c r="S4092"/>
      <c r="T4092"/>
      <c r="U4092"/>
      <c r="V4092"/>
      <c r="W4092">
        <v>18</v>
      </c>
    </row>
    <row r="4093" spans="1:23">
      <c r="A4093"/>
      <c r="B4093" t="s">
        <v>95</v>
      </c>
      <c r="C4093" t="s">
        <v>95</v>
      </c>
      <c r="D4093" t="s">
        <v>33</v>
      </c>
      <c r="E4093" t="s">
        <v>34</v>
      </c>
      <c r="F4093" t="str">
        <f>"0004381"</f>
        <v>0004381</v>
      </c>
      <c r="G4093">
        <v>1</v>
      </c>
      <c r="H4093" t="str">
        <f>"00000000"</f>
        <v>00000000</v>
      </c>
      <c r="I4093" t="s">
        <v>35</v>
      </c>
      <c r="J4093"/>
      <c r="K4093">
        <v>4.45</v>
      </c>
      <c r="L4093">
        <v>0.0</v>
      </c>
      <c r="M4093"/>
      <c r="N4093"/>
      <c r="O4093">
        <v>0.8</v>
      </c>
      <c r="P4093">
        <v>0.0</v>
      </c>
      <c r="Q4093">
        <v>5.25</v>
      </c>
      <c r="R4093"/>
      <c r="S4093"/>
      <c r="T4093"/>
      <c r="U4093"/>
      <c r="V4093"/>
      <c r="W4093">
        <v>18</v>
      </c>
    </row>
    <row r="4094" spans="1:23">
      <c r="A4094"/>
      <c r="B4094" t="s">
        <v>95</v>
      </c>
      <c r="C4094" t="s">
        <v>95</v>
      </c>
      <c r="D4094" t="s">
        <v>33</v>
      </c>
      <c r="E4094" t="s">
        <v>34</v>
      </c>
      <c r="F4094" t="str">
        <f>"0004382"</f>
        <v>0004382</v>
      </c>
      <c r="G4094">
        <v>1</v>
      </c>
      <c r="H4094" t="str">
        <f>"00000000"</f>
        <v>00000000</v>
      </c>
      <c r="I4094" t="s">
        <v>35</v>
      </c>
      <c r="J4094"/>
      <c r="K4094">
        <v>2.46</v>
      </c>
      <c r="L4094">
        <v>0.0</v>
      </c>
      <c r="M4094"/>
      <c r="N4094"/>
      <c r="O4094">
        <v>0.44</v>
      </c>
      <c r="P4094">
        <v>0.0</v>
      </c>
      <c r="Q4094">
        <v>2.9</v>
      </c>
      <c r="R4094"/>
      <c r="S4094"/>
      <c r="T4094"/>
      <c r="U4094"/>
      <c r="V4094"/>
      <c r="W4094">
        <v>18</v>
      </c>
    </row>
    <row r="4095" spans="1:23">
      <c r="A4095"/>
      <c r="B4095" t="s">
        <v>95</v>
      </c>
      <c r="C4095" t="s">
        <v>95</v>
      </c>
      <c r="D4095" t="s">
        <v>33</v>
      </c>
      <c r="E4095" t="s">
        <v>34</v>
      </c>
      <c r="F4095" t="str">
        <f>"0004383"</f>
        <v>0004383</v>
      </c>
      <c r="G4095">
        <v>1</v>
      </c>
      <c r="H4095" t="str">
        <f>"00000000"</f>
        <v>00000000</v>
      </c>
      <c r="I4095" t="s">
        <v>35</v>
      </c>
      <c r="J4095"/>
      <c r="K4095">
        <v>2.75</v>
      </c>
      <c r="L4095">
        <v>0.0</v>
      </c>
      <c r="M4095"/>
      <c r="N4095"/>
      <c r="O4095">
        <v>0.5</v>
      </c>
      <c r="P4095">
        <v>0.0</v>
      </c>
      <c r="Q4095">
        <v>3.25</v>
      </c>
      <c r="R4095"/>
      <c r="S4095"/>
      <c r="T4095"/>
      <c r="U4095"/>
      <c r="V4095"/>
      <c r="W4095">
        <v>18</v>
      </c>
    </row>
    <row r="4096" spans="1:23">
      <c r="A4096"/>
      <c r="B4096" t="s">
        <v>95</v>
      </c>
      <c r="C4096" t="s">
        <v>95</v>
      </c>
      <c r="D4096" t="s">
        <v>33</v>
      </c>
      <c r="E4096" t="s">
        <v>34</v>
      </c>
      <c r="F4096" t="str">
        <f>"0004384"</f>
        <v>0004384</v>
      </c>
      <c r="G4096">
        <v>1</v>
      </c>
      <c r="H4096" t="str">
        <f>"00000000"</f>
        <v>00000000</v>
      </c>
      <c r="I4096" t="s">
        <v>35</v>
      </c>
      <c r="J4096"/>
      <c r="K4096">
        <v>2.61</v>
      </c>
      <c r="L4096">
        <v>1.56</v>
      </c>
      <c r="M4096"/>
      <c r="N4096"/>
      <c r="O4096">
        <v>0.47</v>
      </c>
      <c r="P4096">
        <v>0.0</v>
      </c>
      <c r="Q4096">
        <v>4.63</v>
      </c>
      <c r="R4096"/>
      <c r="S4096"/>
      <c r="T4096"/>
      <c r="U4096"/>
      <c r="V4096"/>
      <c r="W4096">
        <v>18</v>
      </c>
    </row>
    <row r="4097" spans="1:23">
      <c r="A4097"/>
      <c r="B4097" t="s">
        <v>95</v>
      </c>
      <c r="C4097" t="s">
        <v>95</v>
      </c>
      <c r="D4097" t="s">
        <v>33</v>
      </c>
      <c r="E4097" t="s">
        <v>34</v>
      </c>
      <c r="F4097" t="str">
        <f>"0004385"</f>
        <v>0004385</v>
      </c>
      <c r="G4097">
        <v>1</v>
      </c>
      <c r="H4097" t="str">
        <f>"00000000"</f>
        <v>00000000</v>
      </c>
      <c r="I4097" t="s">
        <v>35</v>
      </c>
      <c r="J4097"/>
      <c r="K4097">
        <v>5.93</v>
      </c>
      <c r="L4097">
        <v>0.0</v>
      </c>
      <c r="M4097"/>
      <c r="N4097"/>
      <c r="O4097">
        <v>1.07</v>
      </c>
      <c r="P4097">
        <v>0.0</v>
      </c>
      <c r="Q4097">
        <v>7.0</v>
      </c>
      <c r="R4097"/>
      <c r="S4097"/>
      <c r="T4097"/>
      <c r="U4097"/>
      <c r="V4097"/>
      <c r="W4097">
        <v>18</v>
      </c>
    </row>
    <row r="4098" spans="1:23">
      <c r="A4098"/>
      <c r="B4098" t="s">
        <v>95</v>
      </c>
      <c r="C4098" t="s">
        <v>95</v>
      </c>
      <c r="D4098" t="s">
        <v>33</v>
      </c>
      <c r="E4098" t="s">
        <v>34</v>
      </c>
      <c r="F4098" t="str">
        <f>"0004386"</f>
        <v>0004386</v>
      </c>
      <c r="G4098">
        <v>1</v>
      </c>
      <c r="H4098" t="str">
        <f>"00000000"</f>
        <v>00000000</v>
      </c>
      <c r="I4098" t="s">
        <v>35</v>
      </c>
      <c r="J4098"/>
      <c r="K4098">
        <v>5.51</v>
      </c>
      <c r="L4098">
        <v>0.0</v>
      </c>
      <c r="M4098"/>
      <c r="N4098"/>
      <c r="O4098">
        <v>0.99</v>
      </c>
      <c r="P4098">
        <v>0.0</v>
      </c>
      <c r="Q4098">
        <v>6.5</v>
      </c>
      <c r="R4098"/>
      <c r="S4098"/>
      <c r="T4098"/>
      <c r="U4098"/>
      <c r="V4098"/>
      <c r="W4098">
        <v>18</v>
      </c>
    </row>
    <row r="4099" spans="1:23">
      <c r="A4099"/>
      <c r="B4099" t="s">
        <v>95</v>
      </c>
      <c r="C4099" t="s">
        <v>95</v>
      </c>
      <c r="D4099" t="s">
        <v>33</v>
      </c>
      <c r="E4099" t="s">
        <v>34</v>
      </c>
      <c r="F4099" t="str">
        <f>"0004387"</f>
        <v>0004387</v>
      </c>
      <c r="G4099">
        <v>1</v>
      </c>
      <c r="H4099" t="str">
        <f>"00000000"</f>
        <v>00000000</v>
      </c>
      <c r="I4099" t="s">
        <v>35</v>
      </c>
      <c r="J4099"/>
      <c r="K4099">
        <v>2.12</v>
      </c>
      <c r="L4099">
        <v>0.0</v>
      </c>
      <c r="M4099"/>
      <c r="N4099"/>
      <c r="O4099">
        <v>0.38</v>
      </c>
      <c r="P4099">
        <v>0.0</v>
      </c>
      <c r="Q4099">
        <v>2.5</v>
      </c>
      <c r="R4099"/>
      <c r="S4099"/>
      <c r="T4099"/>
      <c r="U4099"/>
      <c r="V4099"/>
      <c r="W4099">
        <v>18</v>
      </c>
    </row>
    <row r="4100" spans="1:23">
      <c r="A4100"/>
      <c r="B4100" t="s">
        <v>95</v>
      </c>
      <c r="C4100" t="s">
        <v>95</v>
      </c>
      <c r="D4100" t="s">
        <v>33</v>
      </c>
      <c r="E4100" t="s">
        <v>34</v>
      </c>
      <c r="F4100" t="str">
        <f>"0004388"</f>
        <v>0004388</v>
      </c>
      <c r="G4100">
        <v>1</v>
      </c>
      <c r="H4100" t="str">
        <f>"00000000"</f>
        <v>00000000</v>
      </c>
      <c r="I4100" t="s">
        <v>35</v>
      </c>
      <c r="J4100"/>
      <c r="K4100">
        <v>7.34</v>
      </c>
      <c r="L4100">
        <v>1.42</v>
      </c>
      <c r="M4100"/>
      <c r="N4100"/>
      <c r="O4100">
        <v>1.32</v>
      </c>
      <c r="P4100">
        <v>0.0</v>
      </c>
      <c r="Q4100">
        <v>10.08</v>
      </c>
      <c r="R4100"/>
      <c r="S4100"/>
      <c r="T4100"/>
      <c r="U4100"/>
      <c r="V4100"/>
      <c r="W4100">
        <v>18</v>
      </c>
    </row>
    <row r="4101" spans="1:23">
      <c r="A4101"/>
      <c r="B4101" t="s">
        <v>95</v>
      </c>
      <c r="C4101" t="s">
        <v>95</v>
      </c>
      <c r="D4101" t="s">
        <v>33</v>
      </c>
      <c r="E4101" t="s">
        <v>34</v>
      </c>
      <c r="F4101" t="str">
        <f>"0004389"</f>
        <v>0004389</v>
      </c>
      <c r="G4101">
        <v>1</v>
      </c>
      <c r="H4101" t="str">
        <f>"00000000"</f>
        <v>00000000</v>
      </c>
      <c r="I4101" t="s">
        <v>35</v>
      </c>
      <c r="J4101"/>
      <c r="K4101">
        <v>6.8</v>
      </c>
      <c r="L4101">
        <v>4.87</v>
      </c>
      <c r="M4101"/>
      <c r="N4101"/>
      <c r="O4101">
        <v>1.22</v>
      </c>
      <c r="P4101">
        <v>0.0</v>
      </c>
      <c r="Q4101">
        <v>12.89</v>
      </c>
      <c r="R4101"/>
      <c r="S4101"/>
      <c r="T4101"/>
      <c r="U4101"/>
      <c r="V4101"/>
      <c r="W4101">
        <v>18</v>
      </c>
    </row>
    <row r="4102" spans="1:23">
      <c r="A4102"/>
      <c r="B4102" t="s">
        <v>95</v>
      </c>
      <c r="C4102" t="s">
        <v>95</v>
      </c>
      <c r="D4102" t="s">
        <v>33</v>
      </c>
      <c r="E4102" t="s">
        <v>34</v>
      </c>
      <c r="F4102" t="str">
        <f>"0004390"</f>
        <v>0004390</v>
      </c>
      <c r="G4102">
        <v>1</v>
      </c>
      <c r="H4102" t="str">
        <f>"00000000"</f>
        <v>00000000</v>
      </c>
      <c r="I4102" t="s">
        <v>35</v>
      </c>
      <c r="J4102"/>
      <c r="K4102">
        <v>18.66</v>
      </c>
      <c r="L4102">
        <v>0.0</v>
      </c>
      <c r="M4102"/>
      <c r="N4102"/>
      <c r="O4102">
        <v>3.36</v>
      </c>
      <c r="P4102">
        <v>0.2</v>
      </c>
      <c r="Q4102">
        <v>22.22</v>
      </c>
      <c r="R4102"/>
      <c r="S4102"/>
      <c r="T4102"/>
      <c r="U4102"/>
      <c r="V4102"/>
      <c r="W4102">
        <v>18</v>
      </c>
    </row>
    <row r="4103" spans="1:23">
      <c r="A4103"/>
      <c r="B4103" t="s">
        <v>95</v>
      </c>
      <c r="C4103" t="s">
        <v>95</v>
      </c>
      <c r="D4103" t="s">
        <v>33</v>
      </c>
      <c r="E4103" t="s">
        <v>34</v>
      </c>
      <c r="F4103" t="str">
        <f>"0004391"</f>
        <v>0004391</v>
      </c>
      <c r="G4103">
        <v>1</v>
      </c>
      <c r="H4103" t="str">
        <f>"00000000"</f>
        <v>00000000</v>
      </c>
      <c r="I4103" t="s">
        <v>35</v>
      </c>
      <c r="J4103"/>
      <c r="K4103">
        <v>11.8</v>
      </c>
      <c r="L4103">
        <v>0.0</v>
      </c>
      <c r="M4103"/>
      <c r="N4103"/>
      <c r="O4103">
        <v>2.12</v>
      </c>
      <c r="P4103">
        <v>0.2</v>
      </c>
      <c r="Q4103">
        <v>14.12</v>
      </c>
      <c r="R4103"/>
      <c r="S4103"/>
      <c r="T4103"/>
      <c r="U4103"/>
      <c r="V4103"/>
      <c r="W4103">
        <v>18</v>
      </c>
    </row>
    <row r="4104" spans="1:23">
      <c r="A4104"/>
      <c r="B4104" t="s">
        <v>95</v>
      </c>
      <c r="C4104" t="s">
        <v>95</v>
      </c>
      <c r="D4104" t="s">
        <v>36</v>
      </c>
      <c r="E4104" t="s">
        <v>37</v>
      </c>
      <c r="F4104" t="str">
        <f>"0000057"</f>
        <v>0000057</v>
      </c>
      <c r="G4104">
        <v>6</v>
      </c>
      <c r="H4104" t="str">
        <f>"10176191410"</f>
        <v>10176191410</v>
      </c>
      <c r="I4104" t="s">
        <v>96</v>
      </c>
      <c r="J4104"/>
      <c r="K4104">
        <v>17.54</v>
      </c>
      <c r="L4104">
        <v>0.0</v>
      </c>
      <c r="M4104"/>
      <c r="N4104"/>
      <c r="O4104">
        <v>3.16</v>
      </c>
      <c r="P4104">
        <v>0.0</v>
      </c>
      <c r="Q4104">
        <v>20.7</v>
      </c>
      <c r="R4104"/>
      <c r="S4104"/>
      <c r="T4104"/>
      <c r="U4104"/>
      <c r="V4104"/>
      <c r="W4104">
        <v>18</v>
      </c>
    </row>
    <row r="4105" spans="1:23">
      <c r="A4105"/>
      <c r="B4105" t="s">
        <v>95</v>
      </c>
      <c r="C4105" t="s">
        <v>95</v>
      </c>
      <c r="D4105" t="s">
        <v>36</v>
      </c>
      <c r="E4105" t="s">
        <v>37</v>
      </c>
      <c r="F4105" t="str">
        <f>"0000058"</f>
        <v>0000058</v>
      </c>
      <c r="G4105">
        <v>6</v>
      </c>
      <c r="H4105" t="str">
        <f>"10176191410"</f>
        <v>10176191410</v>
      </c>
      <c r="I4105" t="s">
        <v>96</v>
      </c>
      <c r="J4105"/>
      <c r="K4105">
        <v>11.5</v>
      </c>
      <c r="L4105">
        <v>0.0</v>
      </c>
      <c r="M4105"/>
      <c r="N4105"/>
      <c r="O4105">
        <v>2.07</v>
      </c>
      <c r="P4105">
        <v>0.0</v>
      </c>
      <c r="Q4105">
        <v>13.57</v>
      </c>
      <c r="R4105"/>
      <c r="S4105"/>
      <c r="T4105"/>
      <c r="U4105"/>
      <c r="V4105"/>
      <c r="W4105">
        <v>18</v>
      </c>
    </row>
    <row r="4106" spans="1:23">
      <c r="A4106"/>
      <c r="B4106" t="s">
        <v>95</v>
      </c>
      <c r="C4106" t="s">
        <v>95</v>
      </c>
      <c r="D4106" t="s">
        <v>33</v>
      </c>
      <c r="E4106" t="s">
        <v>34</v>
      </c>
      <c r="F4106" t="str">
        <f>"0004392"</f>
        <v>0004392</v>
      </c>
      <c r="G4106">
        <v>1</v>
      </c>
      <c r="H4106" t="str">
        <f>"00000000"</f>
        <v>00000000</v>
      </c>
      <c r="I4106" t="s">
        <v>35</v>
      </c>
      <c r="J4106"/>
      <c r="K4106">
        <v>0.02</v>
      </c>
      <c r="L4106">
        <v>0.0</v>
      </c>
      <c r="M4106"/>
      <c r="N4106"/>
      <c r="O4106">
        <v>0.0</v>
      </c>
      <c r="P4106">
        <v>0.2</v>
      </c>
      <c r="Q4106">
        <v>0.22</v>
      </c>
      <c r="R4106"/>
      <c r="S4106"/>
      <c r="T4106"/>
      <c r="U4106"/>
      <c r="V4106"/>
      <c r="W4106">
        <v>18</v>
      </c>
    </row>
    <row r="4107" spans="1:23">
      <c r="A4107"/>
      <c r="B4107" t="s">
        <v>95</v>
      </c>
      <c r="C4107" t="s">
        <v>95</v>
      </c>
      <c r="D4107" t="s">
        <v>33</v>
      </c>
      <c r="E4107" t="s">
        <v>34</v>
      </c>
      <c r="F4107" t="str">
        <f>"0004393"</f>
        <v>0004393</v>
      </c>
      <c r="G4107">
        <v>1</v>
      </c>
      <c r="H4107" t="str">
        <f>"00000000"</f>
        <v>00000000</v>
      </c>
      <c r="I4107" t="s">
        <v>35</v>
      </c>
      <c r="J4107"/>
      <c r="K4107">
        <v>1.61</v>
      </c>
      <c r="L4107">
        <v>0.0</v>
      </c>
      <c r="M4107"/>
      <c r="N4107"/>
      <c r="O4107">
        <v>0.29</v>
      </c>
      <c r="P4107">
        <v>0.0</v>
      </c>
      <c r="Q4107">
        <v>1.9</v>
      </c>
      <c r="R4107"/>
      <c r="S4107"/>
      <c r="T4107"/>
      <c r="U4107"/>
      <c r="V4107"/>
      <c r="W4107">
        <v>18</v>
      </c>
    </row>
    <row r="4108" spans="1:23">
      <c r="A4108"/>
      <c r="B4108" t="s">
        <v>95</v>
      </c>
      <c r="C4108" t="s">
        <v>95</v>
      </c>
      <c r="D4108" t="s">
        <v>33</v>
      </c>
      <c r="E4108" t="s">
        <v>34</v>
      </c>
      <c r="F4108" t="str">
        <f>"0004394"</f>
        <v>0004394</v>
      </c>
      <c r="G4108">
        <v>1</v>
      </c>
      <c r="H4108" t="str">
        <f>"00000000"</f>
        <v>00000000</v>
      </c>
      <c r="I4108" t="s">
        <v>35</v>
      </c>
      <c r="J4108"/>
      <c r="K4108">
        <v>7.37</v>
      </c>
      <c r="L4108">
        <v>0.0</v>
      </c>
      <c r="M4108"/>
      <c r="N4108"/>
      <c r="O4108">
        <v>1.33</v>
      </c>
      <c r="P4108">
        <v>0.0</v>
      </c>
      <c r="Q4108">
        <v>8.7</v>
      </c>
      <c r="R4108"/>
      <c r="S4108"/>
      <c r="T4108"/>
      <c r="U4108"/>
      <c r="V4108"/>
      <c r="W4108">
        <v>18</v>
      </c>
    </row>
    <row r="4109" spans="1:23">
      <c r="A4109"/>
      <c r="B4109" t="s">
        <v>95</v>
      </c>
      <c r="C4109" t="s">
        <v>95</v>
      </c>
      <c r="D4109" t="s">
        <v>33</v>
      </c>
      <c r="E4109" t="s">
        <v>34</v>
      </c>
      <c r="F4109" t="str">
        <f>"0004395"</f>
        <v>0004395</v>
      </c>
      <c r="G4109">
        <v>1</v>
      </c>
      <c r="H4109" t="str">
        <f>"00000000"</f>
        <v>00000000</v>
      </c>
      <c r="I4109" t="s">
        <v>35</v>
      </c>
      <c r="J4109"/>
      <c r="K4109">
        <v>5.93</v>
      </c>
      <c r="L4109">
        <v>0.0</v>
      </c>
      <c r="M4109"/>
      <c r="N4109"/>
      <c r="O4109">
        <v>1.07</v>
      </c>
      <c r="P4109">
        <v>0.0</v>
      </c>
      <c r="Q4109">
        <v>7.0</v>
      </c>
      <c r="R4109"/>
      <c r="S4109"/>
      <c r="T4109"/>
      <c r="U4109"/>
      <c r="V4109"/>
      <c r="W4109">
        <v>18</v>
      </c>
    </row>
    <row r="4110" spans="1:23">
      <c r="A4110"/>
      <c r="B4110" t="s">
        <v>95</v>
      </c>
      <c r="C4110" t="s">
        <v>95</v>
      </c>
      <c r="D4110" t="s">
        <v>33</v>
      </c>
      <c r="E4110" t="s">
        <v>34</v>
      </c>
      <c r="F4110" t="str">
        <f>"0004396"</f>
        <v>0004396</v>
      </c>
      <c r="G4110">
        <v>1</v>
      </c>
      <c r="H4110" t="str">
        <f>"00000000"</f>
        <v>00000000</v>
      </c>
      <c r="I4110" t="s">
        <v>35</v>
      </c>
      <c r="J4110"/>
      <c r="K4110">
        <v>4.49</v>
      </c>
      <c r="L4110">
        <v>0.0</v>
      </c>
      <c r="M4110"/>
      <c r="N4110"/>
      <c r="O4110">
        <v>0.81</v>
      </c>
      <c r="P4110">
        <v>0.0</v>
      </c>
      <c r="Q4110">
        <v>5.3</v>
      </c>
      <c r="R4110"/>
      <c r="S4110"/>
      <c r="T4110"/>
      <c r="U4110"/>
      <c r="V4110"/>
      <c r="W4110">
        <v>18</v>
      </c>
    </row>
    <row r="4111" spans="1:23">
      <c r="A4111"/>
      <c r="B4111" t="s">
        <v>95</v>
      </c>
      <c r="C4111" t="s">
        <v>95</v>
      </c>
      <c r="D4111" t="s">
        <v>33</v>
      </c>
      <c r="E4111" t="s">
        <v>34</v>
      </c>
      <c r="F4111" t="str">
        <f>"0004397"</f>
        <v>0004397</v>
      </c>
      <c r="G4111">
        <v>1</v>
      </c>
      <c r="H4111" t="str">
        <f>"00000000"</f>
        <v>00000000</v>
      </c>
      <c r="I4111" t="s">
        <v>35</v>
      </c>
      <c r="J4111"/>
      <c r="K4111">
        <v>6.36</v>
      </c>
      <c r="L4111">
        <v>0.0</v>
      </c>
      <c r="M4111"/>
      <c r="N4111"/>
      <c r="O4111">
        <v>1.14</v>
      </c>
      <c r="P4111">
        <v>0.0</v>
      </c>
      <c r="Q4111">
        <v>7.5</v>
      </c>
      <c r="R4111"/>
      <c r="S4111"/>
      <c r="T4111"/>
      <c r="U4111"/>
      <c r="V4111"/>
      <c r="W4111">
        <v>18</v>
      </c>
    </row>
    <row r="4112" spans="1:23">
      <c r="A4112"/>
      <c r="B4112" t="s">
        <v>95</v>
      </c>
      <c r="C4112" t="s">
        <v>95</v>
      </c>
      <c r="D4112" t="s">
        <v>33</v>
      </c>
      <c r="E4112" t="s">
        <v>34</v>
      </c>
      <c r="F4112" t="str">
        <f>"0004398"</f>
        <v>0004398</v>
      </c>
      <c r="G4112">
        <v>1</v>
      </c>
      <c r="H4112" t="str">
        <f>"00000000"</f>
        <v>00000000</v>
      </c>
      <c r="I4112" t="s">
        <v>35</v>
      </c>
      <c r="J4112"/>
      <c r="K4112">
        <v>19.59</v>
      </c>
      <c r="L4112">
        <v>0.0</v>
      </c>
      <c r="M4112"/>
      <c r="N4112"/>
      <c r="O4112">
        <v>3.53</v>
      </c>
      <c r="P4112">
        <v>0.2</v>
      </c>
      <c r="Q4112">
        <v>23.32</v>
      </c>
      <c r="R4112"/>
      <c r="S4112"/>
      <c r="T4112"/>
      <c r="U4112"/>
      <c r="V4112"/>
      <c r="W4112">
        <v>18</v>
      </c>
    </row>
    <row r="4113" spans="1:23">
      <c r="A4113"/>
      <c r="B4113" t="s">
        <v>95</v>
      </c>
      <c r="C4113" t="s">
        <v>95</v>
      </c>
      <c r="D4113" t="s">
        <v>36</v>
      </c>
      <c r="E4113" t="s">
        <v>37</v>
      </c>
      <c r="F4113" t="str">
        <f>"0000059"</f>
        <v>0000059</v>
      </c>
      <c r="G4113">
        <v>6</v>
      </c>
      <c r="H4113" t="str">
        <f>"10164821850"</f>
        <v>10164821850</v>
      </c>
      <c r="I4113" t="s">
        <v>97</v>
      </c>
      <c r="J4113"/>
      <c r="K4113">
        <v>15.08</v>
      </c>
      <c r="L4113">
        <v>12.96</v>
      </c>
      <c r="M4113"/>
      <c r="N4113"/>
      <c r="O4113">
        <v>2.72</v>
      </c>
      <c r="P4113">
        <v>0.0</v>
      </c>
      <c r="Q4113">
        <v>30.76</v>
      </c>
      <c r="R4113"/>
      <c r="S4113"/>
      <c r="T4113"/>
      <c r="U4113"/>
      <c r="V4113"/>
      <c r="W4113">
        <v>18</v>
      </c>
    </row>
    <row r="4114" spans="1:23">
      <c r="A4114"/>
      <c r="B4114" t="s">
        <v>95</v>
      </c>
      <c r="C4114" t="s">
        <v>95</v>
      </c>
      <c r="D4114" t="s">
        <v>36</v>
      </c>
      <c r="E4114" t="s">
        <v>37</v>
      </c>
      <c r="F4114" t="str">
        <f>"0000060"</f>
        <v>0000060</v>
      </c>
      <c r="G4114">
        <v>6</v>
      </c>
      <c r="H4114" t="str">
        <f>"20543254798"</f>
        <v>20543254798</v>
      </c>
      <c r="I4114" t="s">
        <v>98</v>
      </c>
      <c r="J4114"/>
      <c r="K4114">
        <v>15.61</v>
      </c>
      <c r="L4114">
        <v>0.0</v>
      </c>
      <c r="M4114"/>
      <c r="N4114"/>
      <c r="O4114">
        <v>2.81</v>
      </c>
      <c r="P4114">
        <v>0.2</v>
      </c>
      <c r="Q4114">
        <v>18.62</v>
      </c>
      <c r="R4114"/>
      <c r="S4114"/>
      <c r="T4114"/>
      <c r="U4114"/>
      <c r="V4114"/>
      <c r="W4114">
        <v>18</v>
      </c>
    </row>
    <row r="4115" spans="1:23">
      <c r="A4115"/>
      <c r="B4115" t="s">
        <v>95</v>
      </c>
      <c r="C4115" t="s">
        <v>95</v>
      </c>
      <c r="D4115" t="s">
        <v>33</v>
      </c>
      <c r="E4115" t="s">
        <v>34</v>
      </c>
      <c r="F4115" t="str">
        <f>"0004399"</f>
        <v>0004399</v>
      </c>
      <c r="G4115">
        <v>1</v>
      </c>
      <c r="H4115" t="str">
        <f>"00000000"</f>
        <v>00000000</v>
      </c>
      <c r="I4115" t="s">
        <v>35</v>
      </c>
      <c r="J4115"/>
      <c r="K4115">
        <v>2.46</v>
      </c>
      <c r="L4115">
        <v>0.0</v>
      </c>
      <c r="M4115"/>
      <c r="N4115"/>
      <c r="O4115">
        <v>0.44</v>
      </c>
      <c r="P4115">
        <v>0.0</v>
      </c>
      <c r="Q4115">
        <v>2.9</v>
      </c>
      <c r="R4115"/>
      <c r="S4115"/>
      <c r="T4115"/>
      <c r="U4115"/>
      <c r="V4115"/>
      <c r="W4115">
        <v>18</v>
      </c>
    </row>
    <row r="4116" spans="1:23">
      <c r="A4116"/>
      <c r="B4116" t="s">
        <v>95</v>
      </c>
      <c r="C4116" t="s">
        <v>95</v>
      </c>
      <c r="D4116" t="s">
        <v>33</v>
      </c>
      <c r="E4116" t="s">
        <v>34</v>
      </c>
      <c r="F4116" t="str">
        <f>"0004400"</f>
        <v>0004400</v>
      </c>
      <c r="G4116">
        <v>1</v>
      </c>
      <c r="H4116" t="str">
        <f>"00000000"</f>
        <v>00000000</v>
      </c>
      <c r="I4116" t="s">
        <v>35</v>
      </c>
      <c r="J4116"/>
      <c r="K4116">
        <v>3.64</v>
      </c>
      <c r="L4116">
        <v>0.0</v>
      </c>
      <c r="M4116"/>
      <c r="N4116"/>
      <c r="O4116">
        <v>0.66</v>
      </c>
      <c r="P4116">
        <v>0.0</v>
      </c>
      <c r="Q4116">
        <v>4.3</v>
      </c>
      <c r="R4116"/>
      <c r="S4116"/>
      <c r="T4116"/>
      <c r="U4116"/>
      <c r="V4116"/>
      <c r="W4116">
        <v>18</v>
      </c>
    </row>
    <row r="4117" spans="1:23">
      <c r="A4117"/>
      <c r="B4117" t="s">
        <v>95</v>
      </c>
      <c r="C4117" t="s">
        <v>95</v>
      </c>
      <c r="D4117" t="s">
        <v>33</v>
      </c>
      <c r="E4117" t="s">
        <v>34</v>
      </c>
      <c r="F4117" t="str">
        <f>"0004401"</f>
        <v>0004401</v>
      </c>
      <c r="G4117">
        <v>1</v>
      </c>
      <c r="H4117" t="str">
        <f>"00000000"</f>
        <v>00000000</v>
      </c>
      <c r="I4117" t="s">
        <v>35</v>
      </c>
      <c r="J4117"/>
      <c r="K4117">
        <v>16.97</v>
      </c>
      <c r="L4117">
        <v>3.09</v>
      </c>
      <c r="M4117"/>
      <c r="N4117"/>
      <c r="O4117">
        <v>3.05</v>
      </c>
      <c r="P4117">
        <v>0.2</v>
      </c>
      <c r="Q4117">
        <v>23.31</v>
      </c>
      <c r="R4117"/>
      <c r="S4117"/>
      <c r="T4117"/>
      <c r="U4117"/>
      <c r="V4117"/>
      <c r="W4117">
        <v>18</v>
      </c>
    </row>
    <row r="4118" spans="1:23">
      <c r="A4118"/>
      <c r="B4118" t="s">
        <v>95</v>
      </c>
      <c r="C4118" t="s">
        <v>95</v>
      </c>
      <c r="D4118" t="s">
        <v>33</v>
      </c>
      <c r="E4118" t="s">
        <v>34</v>
      </c>
      <c r="F4118" t="str">
        <f>"0004402"</f>
        <v>0004402</v>
      </c>
      <c r="G4118">
        <v>1</v>
      </c>
      <c r="H4118" t="str">
        <f>"00000000"</f>
        <v>00000000</v>
      </c>
      <c r="I4118" t="s">
        <v>35</v>
      </c>
      <c r="J4118"/>
      <c r="K4118">
        <v>6.44</v>
      </c>
      <c r="L4118">
        <v>0.0</v>
      </c>
      <c r="M4118"/>
      <c r="N4118"/>
      <c r="O4118">
        <v>1.16</v>
      </c>
      <c r="P4118">
        <v>0.0</v>
      </c>
      <c r="Q4118">
        <v>7.6</v>
      </c>
      <c r="R4118"/>
      <c r="S4118"/>
      <c r="T4118"/>
      <c r="U4118"/>
      <c r="V4118"/>
      <c r="W4118">
        <v>18</v>
      </c>
    </row>
    <row r="4119" spans="1:23">
      <c r="A4119"/>
      <c r="B4119" t="s">
        <v>95</v>
      </c>
      <c r="C4119" t="s">
        <v>95</v>
      </c>
      <c r="D4119" t="s">
        <v>33</v>
      </c>
      <c r="E4119" t="s">
        <v>34</v>
      </c>
      <c r="F4119" t="str">
        <f>"0004403"</f>
        <v>0004403</v>
      </c>
      <c r="G4119">
        <v>1</v>
      </c>
      <c r="H4119" t="str">
        <f>"00000000"</f>
        <v>00000000</v>
      </c>
      <c r="I4119" t="s">
        <v>35</v>
      </c>
      <c r="J4119"/>
      <c r="K4119">
        <v>3.47</v>
      </c>
      <c r="L4119">
        <v>1.11</v>
      </c>
      <c r="M4119"/>
      <c r="N4119"/>
      <c r="O4119">
        <v>0.63</v>
      </c>
      <c r="P4119">
        <v>0.2</v>
      </c>
      <c r="Q4119">
        <v>5.4</v>
      </c>
      <c r="R4119"/>
      <c r="S4119"/>
      <c r="T4119"/>
      <c r="U4119"/>
      <c r="V4119"/>
      <c r="W4119">
        <v>18</v>
      </c>
    </row>
    <row r="4120" spans="1:23">
      <c r="A4120"/>
      <c r="B4120" t="s">
        <v>95</v>
      </c>
      <c r="C4120" t="s">
        <v>95</v>
      </c>
      <c r="D4120" t="s">
        <v>33</v>
      </c>
      <c r="E4120" t="s">
        <v>34</v>
      </c>
      <c r="F4120" t="str">
        <f>"0004404"</f>
        <v>0004404</v>
      </c>
      <c r="G4120">
        <v>1</v>
      </c>
      <c r="H4120" t="str">
        <f>"00000000"</f>
        <v>00000000</v>
      </c>
      <c r="I4120" t="s">
        <v>35</v>
      </c>
      <c r="J4120"/>
      <c r="K4120">
        <v>1.69</v>
      </c>
      <c r="L4120">
        <v>0.0</v>
      </c>
      <c r="M4120"/>
      <c r="N4120"/>
      <c r="O4120">
        <v>0.31</v>
      </c>
      <c r="P4120">
        <v>0.0</v>
      </c>
      <c r="Q4120">
        <v>2.0</v>
      </c>
      <c r="R4120"/>
      <c r="S4120"/>
      <c r="T4120"/>
      <c r="U4120"/>
      <c r="V4120"/>
      <c r="W4120">
        <v>18</v>
      </c>
    </row>
    <row r="4121" spans="1:23">
      <c r="A4121"/>
      <c r="B4121" t="s">
        <v>95</v>
      </c>
      <c r="C4121" t="s">
        <v>95</v>
      </c>
      <c r="D4121" t="s">
        <v>33</v>
      </c>
      <c r="E4121" t="s">
        <v>34</v>
      </c>
      <c r="F4121" t="str">
        <f>"0004405"</f>
        <v>0004405</v>
      </c>
      <c r="G4121">
        <v>1</v>
      </c>
      <c r="H4121" t="str">
        <f>"00000000"</f>
        <v>00000000</v>
      </c>
      <c r="I4121" t="s">
        <v>35</v>
      </c>
      <c r="J4121"/>
      <c r="K4121">
        <v>1.69</v>
      </c>
      <c r="L4121">
        <v>0.0</v>
      </c>
      <c r="M4121"/>
      <c r="N4121"/>
      <c r="O4121">
        <v>0.31</v>
      </c>
      <c r="P4121">
        <v>0.0</v>
      </c>
      <c r="Q4121">
        <v>2.0</v>
      </c>
      <c r="R4121"/>
      <c r="S4121"/>
      <c r="T4121"/>
      <c r="U4121"/>
      <c r="V4121"/>
      <c r="W4121">
        <v>18</v>
      </c>
    </row>
    <row r="4122" spans="1:23">
      <c r="A4122"/>
      <c r="B4122" t="s">
        <v>95</v>
      </c>
      <c r="C4122" t="s">
        <v>95</v>
      </c>
      <c r="D4122" t="s">
        <v>33</v>
      </c>
      <c r="E4122" t="s">
        <v>34</v>
      </c>
      <c r="F4122" t="str">
        <f>"0004406"</f>
        <v>0004406</v>
      </c>
      <c r="G4122">
        <v>1</v>
      </c>
      <c r="H4122" t="str">
        <f>"00000000"</f>
        <v>00000000</v>
      </c>
      <c r="I4122" t="s">
        <v>35</v>
      </c>
      <c r="J4122"/>
      <c r="K4122">
        <v>1.69</v>
      </c>
      <c r="L4122">
        <v>0.0</v>
      </c>
      <c r="M4122"/>
      <c r="N4122"/>
      <c r="O4122">
        <v>0.31</v>
      </c>
      <c r="P4122">
        <v>0.0</v>
      </c>
      <c r="Q4122">
        <v>2.0</v>
      </c>
      <c r="R4122"/>
      <c r="S4122"/>
      <c r="T4122"/>
      <c r="U4122"/>
      <c r="V4122"/>
      <c r="W4122">
        <v>18</v>
      </c>
    </row>
    <row r="4123" spans="1:23">
      <c r="A4123"/>
      <c r="B4123" t="s">
        <v>95</v>
      </c>
      <c r="C4123" t="s">
        <v>95</v>
      </c>
      <c r="D4123" t="s">
        <v>33</v>
      </c>
      <c r="E4123" t="s">
        <v>34</v>
      </c>
      <c r="F4123" t="str">
        <f>"0004407"</f>
        <v>0004407</v>
      </c>
      <c r="G4123">
        <v>1</v>
      </c>
      <c r="H4123" t="str">
        <f>"00000000"</f>
        <v>00000000</v>
      </c>
      <c r="I4123" t="s">
        <v>35</v>
      </c>
      <c r="J4123"/>
      <c r="K4123">
        <v>11.02</v>
      </c>
      <c r="L4123">
        <v>0.0</v>
      </c>
      <c r="M4123"/>
      <c r="N4123"/>
      <c r="O4123">
        <v>1.98</v>
      </c>
      <c r="P4123">
        <v>0.0</v>
      </c>
      <c r="Q4123">
        <v>13.0</v>
      </c>
      <c r="R4123"/>
      <c r="S4123"/>
      <c r="T4123"/>
      <c r="U4123"/>
      <c r="V4123"/>
      <c r="W4123">
        <v>18</v>
      </c>
    </row>
    <row r="4124" spans="1:23">
      <c r="A4124"/>
      <c r="B4124" t="s">
        <v>95</v>
      </c>
      <c r="C4124" t="s">
        <v>95</v>
      </c>
      <c r="D4124" t="s">
        <v>33</v>
      </c>
      <c r="E4124" t="s">
        <v>34</v>
      </c>
      <c r="F4124" t="str">
        <f>"0004408"</f>
        <v>0004408</v>
      </c>
      <c r="G4124">
        <v>1</v>
      </c>
      <c r="H4124" t="str">
        <f>"00000000"</f>
        <v>00000000</v>
      </c>
      <c r="I4124" t="s">
        <v>35</v>
      </c>
      <c r="J4124"/>
      <c r="K4124">
        <v>11.02</v>
      </c>
      <c r="L4124">
        <v>0.0</v>
      </c>
      <c r="M4124"/>
      <c r="N4124"/>
      <c r="O4124">
        <v>1.98</v>
      </c>
      <c r="P4124">
        <v>0.0</v>
      </c>
      <c r="Q4124">
        <v>13.0</v>
      </c>
      <c r="R4124"/>
      <c r="S4124"/>
      <c r="T4124"/>
      <c r="U4124"/>
      <c r="V4124"/>
      <c r="W4124">
        <v>18</v>
      </c>
    </row>
    <row r="4125" spans="1:23">
      <c r="A4125"/>
      <c r="B4125" t="s">
        <v>95</v>
      </c>
      <c r="C4125" t="s">
        <v>95</v>
      </c>
      <c r="D4125" t="s">
        <v>33</v>
      </c>
      <c r="E4125" t="s">
        <v>34</v>
      </c>
      <c r="F4125" t="str">
        <f>"0004409"</f>
        <v>0004409</v>
      </c>
      <c r="G4125">
        <v>1</v>
      </c>
      <c r="H4125" t="str">
        <f>"00000000"</f>
        <v>00000000</v>
      </c>
      <c r="I4125" t="s">
        <v>35</v>
      </c>
      <c r="J4125"/>
      <c r="K4125">
        <v>1.02</v>
      </c>
      <c r="L4125">
        <v>0.0</v>
      </c>
      <c r="M4125"/>
      <c r="N4125"/>
      <c r="O4125">
        <v>0.18</v>
      </c>
      <c r="P4125">
        <v>0.0</v>
      </c>
      <c r="Q4125">
        <v>1.2</v>
      </c>
      <c r="R4125"/>
      <c r="S4125"/>
      <c r="T4125"/>
      <c r="U4125"/>
      <c r="V4125"/>
      <c r="W4125">
        <v>18</v>
      </c>
    </row>
    <row r="4126" spans="1:23">
      <c r="A4126"/>
      <c r="B4126" t="s">
        <v>95</v>
      </c>
      <c r="C4126" t="s">
        <v>95</v>
      </c>
      <c r="D4126" t="s">
        <v>33</v>
      </c>
      <c r="E4126" t="s">
        <v>34</v>
      </c>
      <c r="F4126" t="str">
        <f>"0004410"</f>
        <v>0004410</v>
      </c>
      <c r="G4126">
        <v>1</v>
      </c>
      <c r="H4126" t="str">
        <f>"00000000"</f>
        <v>00000000</v>
      </c>
      <c r="I4126" t="s">
        <v>35</v>
      </c>
      <c r="J4126"/>
      <c r="K4126">
        <v>7.22</v>
      </c>
      <c r="L4126">
        <v>7.88</v>
      </c>
      <c r="M4126"/>
      <c r="N4126"/>
      <c r="O4126">
        <v>1.3</v>
      </c>
      <c r="P4126">
        <v>0.2</v>
      </c>
      <c r="Q4126">
        <v>16.6</v>
      </c>
      <c r="R4126"/>
      <c r="S4126"/>
      <c r="T4126"/>
      <c r="U4126"/>
      <c r="V4126"/>
      <c r="W4126">
        <v>18</v>
      </c>
    </row>
    <row r="4127" spans="1:23">
      <c r="A4127"/>
      <c r="B4127" t="s">
        <v>95</v>
      </c>
      <c r="C4127" t="s">
        <v>95</v>
      </c>
      <c r="D4127" t="s">
        <v>33</v>
      </c>
      <c r="E4127" t="s">
        <v>34</v>
      </c>
      <c r="F4127" t="str">
        <f>"0004411"</f>
        <v>0004411</v>
      </c>
      <c r="G4127">
        <v>1</v>
      </c>
      <c r="H4127" t="str">
        <f>"00000000"</f>
        <v>00000000</v>
      </c>
      <c r="I4127" t="s">
        <v>35</v>
      </c>
      <c r="J4127"/>
      <c r="K4127">
        <v>7.63</v>
      </c>
      <c r="L4127">
        <v>0.0</v>
      </c>
      <c r="M4127"/>
      <c r="N4127"/>
      <c r="O4127">
        <v>1.37</v>
      </c>
      <c r="P4127">
        <v>0.0</v>
      </c>
      <c r="Q4127">
        <v>9.0</v>
      </c>
      <c r="R4127"/>
      <c r="S4127"/>
      <c r="T4127"/>
      <c r="U4127"/>
      <c r="V4127"/>
      <c r="W4127">
        <v>18</v>
      </c>
    </row>
    <row r="4128" spans="1:23">
      <c r="A4128"/>
      <c r="B4128" t="s">
        <v>95</v>
      </c>
      <c r="C4128" t="s">
        <v>95</v>
      </c>
      <c r="D4128" t="s">
        <v>33</v>
      </c>
      <c r="E4128" t="s">
        <v>34</v>
      </c>
      <c r="F4128" t="str">
        <f>"0004412"</f>
        <v>0004412</v>
      </c>
      <c r="G4128">
        <v>1</v>
      </c>
      <c r="H4128" t="str">
        <f>"00000000"</f>
        <v>00000000</v>
      </c>
      <c r="I4128" t="s">
        <v>35</v>
      </c>
      <c r="J4128"/>
      <c r="K4128">
        <v>6.69</v>
      </c>
      <c r="L4128">
        <v>0.0</v>
      </c>
      <c r="M4128"/>
      <c r="N4128"/>
      <c r="O4128">
        <v>1.21</v>
      </c>
      <c r="P4128">
        <v>0.0</v>
      </c>
      <c r="Q4128">
        <v>7.9</v>
      </c>
      <c r="R4128"/>
      <c r="S4128"/>
      <c r="T4128"/>
      <c r="U4128"/>
      <c r="V4128"/>
      <c r="W4128">
        <v>18</v>
      </c>
    </row>
    <row r="4129" spans="1:23">
      <c r="A4129"/>
      <c r="B4129" t="s">
        <v>95</v>
      </c>
      <c r="C4129" t="s">
        <v>95</v>
      </c>
      <c r="D4129" t="s">
        <v>33</v>
      </c>
      <c r="E4129" t="s">
        <v>34</v>
      </c>
      <c r="F4129" t="str">
        <f>"0004413"</f>
        <v>0004413</v>
      </c>
      <c r="G4129">
        <v>1</v>
      </c>
      <c r="H4129" t="str">
        <f>"00000000"</f>
        <v>00000000</v>
      </c>
      <c r="I4129" t="s">
        <v>35</v>
      </c>
      <c r="J4129"/>
      <c r="K4129">
        <v>1.69</v>
      </c>
      <c r="L4129">
        <v>0.0</v>
      </c>
      <c r="M4129"/>
      <c r="N4129"/>
      <c r="O4129">
        <v>0.31</v>
      </c>
      <c r="P4129">
        <v>0.0</v>
      </c>
      <c r="Q4129">
        <v>2.0</v>
      </c>
      <c r="R4129"/>
      <c r="S4129"/>
      <c r="T4129"/>
      <c r="U4129"/>
      <c r="V4129"/>
      <c r="W4129">
        <v>18</v>
      </c>
    </row>
    <row r="4130" spans="1:23">
      <c r="A4130"/>
      <c r="B4130" t="s">
        <v>95</v>
      </c>
      <c r="C4130" t="s">
        <v>95</v>
      </c>
      <c r="D4130" t="s">
        <v>33</v>
      </c>
      <c r="E4130" t="s">
        <v>34</v>
      </c>
      <c r="F4130" t="str">
        <f>"0004414"</f>
        <v>0004414</v>
      </c>
      <c r="G4130">
        <v>1</v>
      </c>
      <c r="H4130" t="str">
        <f>"00000000"</f>
        <v>00000000</v>
      </c>
      <c r="I4130" t="s">
        <v>35</v>
      </c>
      <c r="J4130"/>
      <c r="K4130">
        <v>19.75</v>
      </c>
      <c r="L4130">
        <v>0.0</v>
      </c>
      <c r="M4130"/>
      <c r="N4130"/>
      <c r="O4130">
        <v>3.56</v>
      </c>
      <c r="P4130">
        <v>0.2</v>
      </c>
      <c r="Q4130">
        <v>23.51</v>
      </c>
      <c r="R4130"/>
      <c r="S4130"/>
      <c r="T4130"/>
      <c r="U4130"/>
      <c r="V4130"/>
      <c r="W4130">
        <v>18</v>
      </c>
    </row>
    <row r="4131" spans="1:23">
      <c r="A4131"/>
      <c r="B4131" t="s">
        <v>95</v>
      </c>
      <c r="C4131" t="s">
        <v>95</v>
      </c>
      <c r="D4131" t="s">
        <v>33</v>
      </c>
      <c r="E4131" t="s">
        <v>34</v>
      </c>
      <c r="F4131" t="str">
        <f>"0004415"</f>
        <v>0004415</v>
      </c>
      <c r="G4131">
        <v>1</v>
      </c>
      <c r="H4131" t="str">
        <f>"00000000"</f>
        <v>00000000</v>
      </c>
      <c r="I4131" t="s">
        <v>35</v>
      </c>
      <c r="J4131"/>
      <c r="K4131">
        <v>22.73</v>
      </c>
      <c r="L4131">
        <v>0.0</v>
      </c>
      <c r="M4131"/>
      <c r="N4131"/>
      <c r="O4131">
        <v>4.09</v>
      </c>
      <c r="P4131">
        <v>0.2</v>
      </c>
      <c r="Q4131">
        <v>27.02</v>
      </c>
      <c r="R4131"/>
      <c r="S4131"/>
      <c r="T4131"/>
      <c r="U4131"/>
      <c r="V4131"/>
      <c r="W4131">
        <v>18</v>
      </c>
    </row>
    <row r="4132" spans="1:23">
      <c r="A4132"/>
      <c r="B4132" t="s">
        <v>95</v>
      </c>
      <c r="C4132" t="s">
        <v>95</v>
      </c>
      <c r="D4132" t="s">
        <v>33</v>
      </c>
      <c r="E4132" t="s">
        <v>34</v>
      </c>
      <c r="F4132" t="str">
        <f>"0004416"</f>
        <v>0004416</v>
      </c>
      <c r="G4132">
        <v>1</v>
      </c>
      <c r="H4132" t="str">
        <f>"00000000"</f>
        <v>00000000</v>
      </c>
      <c r="I4132" t="s">
        <v>35</v>
      </c>
      <c r="J4132"/>
      <c r="K4132">
        <v>12.01</v>
      </c>
      <c r="L4132">
        <v>0.0</v>
      </c>
      <c r="M4132"/>
      <c r="N4132"/>
      <c r="O4132">
        <v>2.16</v>
      </c>
      <c r="P4132">
        <v>0.2</v>
      </c>
      <c r="Q4132">
        <v>14.37</v>
      </c>
      <c r="R4132"/>
      <c r="S4132"/>
      <c r="T4132"/>
      <c r="U4132"/>
      <c r="V4132"/>
      <c r="W4132">
        <v>18</v>
      </c>
    </row>
    <row r="4133" spans="1:23">
      <c r="A4133"/>
      <c r="B4133" t="s">
        <v>95</v>
      </c>
      <c r="C4133" t="s">
        <v>95</v>
      </c>
      <c r="D4133" t="s">
        <v>33</v>
      </c>
      <c r="E4133" t="s">
        <v>34</v>
      </c>
      <c r="F4133" t="str">
        <f>"0004417"</f>
        <v>0004417</v>
      </c>
      <c r="G4133">
        <v>1</v>
      </c>
      <c r="H4133" t="str">
        <f>"00000000"</f>
        <v>00000000</v>
      </c>
      <c r="I4133" t="s">
        <v>35</v>
      </c>
      <c r="J4133"/>
      <c r="K4133">
        <v>9.32</v>
      </c>
      <c r="L4133">
        <v>0.0</v>
      </c>
      <c r="M4133"/>
      <c r="N4133"/>
      <c r="O4133">
        <v>1.68</v>
      </c>
      <c r="P4133">
        <v>0.0</v>
      </c>
      <c r="Q4133">
        <v>11.0</v>
      </c>
      <c r="R4133"/>
      <c r="S4133"/>
      <c r="T4133"/>
      <c r="U4133"/>
      <c r="V4133"/>
      <c r="W4133">
        <v>18</v>
      </c>
    </row>
    <row r="4134" spans="1:23">
      <c r="A4134"/>
      <c r="B4134" t="s">
        <v>95</v>
      </c>
      <c r="C4134" t="s">
        <v>95</v>
      </c>
      <c r="D4134" t="s">
        <v>33</v>
      </c>
      <c r="E4134" t="s">
        <v>34</v>
      </c>
      <c r="F4134" t="str">
        <f>"0004418"</f>
        <v>0004418</v>
      </c>
      <c r="G4134">
        <v>1</v>
      </c>
      <c r="H4134" t="str">
        <f>"00000000"</f>
        <v>00000000</v>
      </c>
      <c r="I4134" t="s">
        <v>35</v>
      </c>
      <c r="J4134"/>
      <c r="K4134">
        <v>8.05</v>
      </c>
      <c r="L4134">
        <v>7.9</v>
      </c>
      <c r="M4134"/>
      <c r="N4134"/>
      <c r="O4134">
        <v>1.45</v>
      </c>
      <c r="P4134">
        <v>0.0</v>
      </c>
      <c r="Q4134">
        <v>17.4</v>
      </c>
      <c r="R4134"/>
      <c r="S4134"/>
      <c r="T4134"/>
      <c r="U4134"/>
      <c r="V4134"/>
      <c r="W4134">
        <v>18</v>
      </c>
    </row>
    <row r="4135" spans="1:23">
      <c r="A4135"/>
      <c r="B4135" t="s">
        <v>95</v>
      </c>
      <c r="C4135" t="s">
        <v>95</v>
      </c>
      <c r="D4135" t="s">
        <v>33</v>
      </c>
      <c r="E4135" t="s">
        <v>34</v>
      </c>
      <c r="F4135" t="str">
        <f>"0004419"</f>
        <v>0004419</v>
      </c>
      <c r="G4135">
        <v>1</v>
      </c>
      <c r="H4135" t="str">
        <f>"00000000"</f>
        <v>00000000</v>
      </c>
      <c r="I4135" t="s">
        <v>35</v>
      </c>
      <c r="J4135"/>
      <c r="K4135">
        <v>8.05</v>
      </c>
      <c r="L4135">
        <v>1.11</v>
      </c>
      <c r="M4135"/>
      <c r="N4135"/>
      <c r="O4135">
        <v>1.45</v>
      </c>
      <c r="P4135">
        <v>0.0</v>
      </c>
      <c r="Q4135">
        <v>10.61</v>
      </c>
      <c r="R4135"/>
      <c r="S4135"/>
      <c r="T4135"/>
      <c r="U4135"/>
      <c r="V4135"/>
      <c r="W4135">
        <v>18</v>
      </c>
    </row>
    <row r="4136" spans="1:23">
      <c r="A4136"/>
      <c r="B4136" t="s">
        <v>95</v>
      </c>
      <c r="C4136" t="s">
        <v>95</v>
      </c>
      <c r="D4136" t="s">
        <v>33</v>
      </c>
      <c r="E4136" t="s">
        <v>34</v>
      </c>
      <c r="F4136" t="str">
        <f>"0004420"</f>
        <v>0004420</v>
      </c>
      <c r="G4136">
        <v>1</v>
      </c>
      <c r="H4136" t="str">
        <f>"00000000"</f>
        <v>00000000</v>
      </c>
      <c r="I4136" t="s">
        <v>35</v>
      </c>
      <c r="J4136"/>
      <c r="K4136">
        <v>1.61</v>
      </c>
      <c r="L4136">
        <v>0.0</v>
      </c>
      <c r="M4136"/>
      <c r="N4136"/>
      <c r="O4136">
        <v>0.29</v>
      </c>
      <c r="P4136">
        <v>0.0</v>
      </c>
      <c r="Q4136">
        <v>1.9</v>
      </c>
      <c r="R4136"/>
      <c r="S4136"/>
      <c r="T4136"/>
      <c r="U4136"/>
      <c r="V4136"/>
      <c r="W4136">
        <v>18</v>
      </c>
    </row>
    <row r="4137" spans="1:23">
      <c r="A4137"/>
      <c r="B4137" t="s">
        <v>95</v>
      </c>
      <c r="C4137" t="s">
        <v>95</v>
      </c>
      <c r="D4137" t="s">
        <v>33</v>
      </c>
      <c r="E4137" t="s">
        <v>34</v>
      </c>
      <c r="F4137" t="str">
        <f>"0004421"</f>
        <v>0004421</v>
      </c>
      <c r="G4137">
        <v>1</v>
      </c>
      <c r="H4137" t="str">
        <f>"00000000"</f>
        <v>00000000</v>
      </c>
      <c r="I4137" t="s">
        <v>35</v>
      </c>
      <c r="J4137"/>
      <c r="K4137">
        <v>1.88</v>
      </c>
      <c r="L4137">
        <v>0.0</v>
      </c>
      <c r="M4137"/>
      <c r="N4137"/>
      <c r="O4137">
        <v>0.34</v>
      </c>
      <c r="P4137">
        <v>0.0</v>
      </c>
      <c r="Q4137">
        <v>2.22</v>
      </c>
      <c r="R4137"/>
      <c r="S4137"/>
      <c r="T4137"/>
      <c r="U4137"/>
      <c r="V4137"/>
      <c r="W4137">
        <v>18</v>
      </c>
    </row>
    <row r="4138" spans="1:23">
      <c r="A4138"/>
      <c r="B4138" t="s">
        <v>95</v>
      </c>
      <c r="C4138" t="s">
        <v>95</v>
      </c>
      <c r="D4138" t="s">
        <v>33</v>
      </c>
      <c r="E4138" t="s">
        <v>34</v>
      </c>
      <c r="F4138" t="str">
        <f>"0004422"</f>
        <v>0004422</v>
      </c>
      <c r="G4138">
        <v>1</v>
      </c>
      <c r="H4138" t="str">
        <f>"00000000"</f>
        <v>00000000</v>
      </c>
      <c r="I4138" t="s">
        <v>35</v>
      </c>
      <c r="J4138"/>
      <c r="K4138">
        <v>25.28</v>
      </c>
      <c r="L4138">
        <v>0.0</v>
      </c>
      <c r="M4138"/>
      <c r="N4138"/>
      <c r="O4138">
        <v>4.55</v>
      </c>
      <c r="P4138">
        <v>0.2</v>
      </c>
      <c r="Q4138">
        <v>30.03</v>
      </c>
      <c r="R4138"/>
      <c r="S4138"/>
      <c r="T4138"/>
      <c r="U4138"/>
      <c r="V4138"/>
      <c r="W4138">
        <v>18</v>
      </c>
    </row>
    <row r="4139" spans="1:23">
      <c r="A4139"/>
      <c r="B4139" t="s">
        <v>95</v>
      </c>
      <c r="C4139" t="s">
        <v>95</v>
      </c>
      <c r="D4139" t="s">
        <v>33</v>
      </c>
      <c r="E4139" t="s">
        <v>34</v>
      </c>
      <c r="F4139" t="str">
        <f>"0004423"</f>
        <v>0004423</v>
      </c>
      <c r="G4139">
        <v>1</v>
      </c>
      <c r="H4139" t="str">
        <f>"00000000"</f>
        <v>00000000</v>
      </c>
      <c r="I4139" t="s">
        <v>35</v>
      </c>
      <c r="J4139"/>
      <c r="K4139">
        <v>4.24</v>
      </c>
      <c r="L4139">
        <v>0.0</v>
      </c>
      <c r="M4139"/>
      <c r="N4139"/>
      <c r="O4139">
        <v>0.76</v>
      </c>
      <c r="P4139">
        <v>0.0</v>
      </c>
      <c r="Q4139">
        <v>5.0</v>
      </c>
      <c r="R4139"/>
      <c r="S4139"/>
      <c r="T4139"/>
      <c r="U4139"/>
      <c r="V4139"/>
      <c r="W4139">
        <v>18</v>
      </c>
    </row>
    <row r="4140" spans="1:23">
      <c r="A4140"/>
      <c r="B4140" t="s">
        <v>95</v>
      </c>
      <c r="C4140" t="s">
        <v>95</v>
      </c>
      <c r="D4140" t="s">
        <v>33</v>
      </c>
      <c r="E4140" t="s">
        <v>34</v>
      </c>
      <c r="F4140" t="str">
        <f>"0004424"</f>
        <v>0004424</v>
      </c>
      <c r="G4140">
        <v>1</v>
      </c>
      <c r="H4140" t="str">
        <f>"00000000"</f>
        <v>00000000</v>
      </c>
      <c r="I4140" t="s">
        <v>35</v>
      </c>
      <c r="J4140"/>
      <c r="K4140">
        <v>3.81</v>
      </c>
      <c r="L4140">
        <v>0.0</v>
      </c>
      <c r="M4140"/>
      <c r="N4140"/>
      <c r="O4140">
        <v>0.69</v>
      </c>
      <c r="P4140">
        <v>0.0</v>
      </c>
      <c r="Q4140">
        <v>4.5</v>
      </c>
      <c r="R4140"/>
      <c r="S4140"/>
      <c r="T4140"/>
      <c r="U4140"/>
      <c r="V4140"/>
      <c r="W4140">
        <v>18</v>
      </c>
    </row>
    <row r="4141" spans="1:23">
      <c r="A4141"/>
      <c r="B4141" t="s">
        <v>95</v>
      </c>
      <c r="C4141" t="s">
        <v>95</v>
      </c>
      <c r="D4141" t="s">
        <v>33</v>
      </c>
      <c r="E4141" t="s">
        <v>34</v>
      </c>
      <c r="F4141" t="str">
        <f>"0004425"</f>
        <v>0004425</v>
      </c>
      <c r="G4141">
        <v>1</v>
      </c>
      <c r="H4141" t="str">
        <f>"00000000"</f>
        <v>00000000</v>
      </c>
      <c r="I4141" t="s">
        <v>35</v>
      </c>
      <c r="J4141"/>
      <c r="K4141">
        <v>2.37</v>
      </c>
      <c r="L4141">
        <v>0.0</v>
      </c>
      <c r="M4141"/>
      <c r="N4141"/>
      <c r="O4141">
        <v>0.43</v>
      </c>
      <c r="P4141">
        <v>0.0</v>
      </c>
      <c r="Q4141">
        <v>2.8</v>
      </c>
      <c r="R4141"/>
      <c r="S4141"/>
      <c r="T4141"/>
      <c r="U4141"/>
      <c r="V4141"/>
      <c r="W4141">
        <v>18</v>
      </c>
    </row>
    <row r="4142" spans="1:23">
      <c r="A4142"/>
      <c r="B4142" t="s">
        <v>95</v>
      </c>
      <c r="C4142" t="s">
        <v>95</v>
      </c>
      <c r="D4142" t="s">
        <v>33</v>
      </c>
      <c r="E4142" t="s">
        <v>34</v>
      </c>
      <c r="F4142" t="str">
        <f>"0004426"</f>
        <v>0004426</v>
      </c>
      <c r="G4142">
        <v>1</v>
      </c>
      <c r="H4142" t="str">
        <f>"00000000"</f>
        <v>00000000</v>
      </c>
      <c r="I4142" t="s">
        <v>35</v>
      </c>
      <c r="J4142"/>
      <c r="K4142">
        <v>12.63</v>
      </c>
      <c r="L4142">
        <v>0.0</v>
      </c>
      <c r="M4142"/>
      <c r="N4142"/>
      <c r="O4142">
        <v>2.27</v>
      </c>
      <c r="P4142">
        <v>0.0</v>
      </c>
      <c r="Q4142">
        <v>14.9</v>
      </c>
      <c r="R4142"/>
      <c r="S4142"/>
      <c r="T4142"/>
      <c r="U4142"/>
      <c r="V4142"/>
      <c r="W4142">
        <v>18</v>
      </c>
    </row>
    <row r="4143" spans="1:23">
      <c r="A4143"/>
      <c r="B4143" t="s">
        <v>95</v>
      </c>
      <c r="C4143" t="s">
        <v>95</v>
      </c>
      <c r="D4143" t="s">
        <v>33</v>
      </c>
      <c r="E4143" t="s">
        <v>34</v>
      </c>
      <c r="F4143" t="str">
        <f>"0004427"</f>
        <v>0004427</v>
      </c>
      <c r="G4143">
        <v>1</v>
      </c>
      <c r="H4143" t="str">
        <f>"00000000"</f>
        <v>00000000</v>
      </c>
      <c r="I4143" t="s">
        <v>35</v>
      </c>
      <c r="J4143"/>
      <c r="K4143">
        <v>0.02</v>
      </c>
      <c r="L4143">
        <v>0.0</v>
      </c>
      <c r="M4143"/>
      <c r="N4143"/>
      <c r="O4143">
        <v>0.0</v>
      </c>
      <c r="P4143">
        <v>0.2</v>
      </c>
      <c r="Q4143">
        <v>0.22</v>
      </c>
      <c r="R4143"/>
      <c r="S4143"/>
      <c r="T4143"/>
      <c r="U4143"/>
      <c r="V4143"/>
      <c r="W4143">
        <v>18</v>
      </c>
    </row>
    <row r="4144" spans="1:23">
      <c r="A4144"/>
      <c r="B4144" t="s">
        <v>95</v>
      </c>
      <c r="C4144" t="s">
        <v>95</v>
      </c>
      <c r="D4144" t="s">
        <v>33</v>
      </c>
      <c r="E4144" t="s">
        <v>34</v>
      </c>
      <c r="F4144" t="str">
        <f>"0004428"</f>
        <v>0004428</v>
      </c>
      <c r="G4144">
        <v>1</v>
      </c>
      <c r="H4144" t="str">
        <f>"00000000"</f>
        <v>00000000</v>
      </c>
      <c r="I4144" t="s">
        <v>35</v>
      </c>
      <c r="J4144"/>
      <c r="K4144">
        <v>1.27</v>
      </c>
      <c r="L4144">
        <v>0.7</v>
      </c>
      <c r="M4144"/>
      <c r="N4144"/>
      <c r="O4144">
        <v>0.23</v>
      </c>
      <c r="P4144">
        <v>0.0</v>
      </c>
      <c r="Q4144">
        <v>2.2</v>
      </c>
      <c r="R4144"/>
      <c r="S4144"/>
      <c r="T4144"/>
      <c r="U4144"/>
      <c r="V4144"/>
      <c r="W4144">
        <v>18</v>
      </c>
    </row>
    <row r="4145" spans="1:23">
      <c r="A4145"/>
      <c r="B4145" t="s">
        <v>95</v>
      </c>
      <c r="C4145" t="s">
        <v>95</v>
      </c>
      <c r="D4145" t="s">
        <v>33</v>
      </c>
      <c r="E4145" t="s">
        <v>34</v>
      </c>
      <c r="F4145" t="str">
        <f>"0004429"</f>
        <v>0004429</v>
      </c>
      <c r="G4145">
        <v>1</v>
      </c>
      <c r="H4145" t="str">
        <f>"00000000"</f>
        <v>00000000</v>
      </c>
      <c r="I4145" t="s">
        <v>35</v>
      </c>
      <c r="J4145"/>
      <c r="K4145">
        <v>0.0</v>
      </c>
      <c r="L4145">
        <v>0.55</v>
      </c>
      <c r="M4145"/>
      <c r="N4145"/>
      <c r="O4145">
        <v>0.0</v>
      </c>
      <c r="P4145">
        <v>0.0</v>
      </c>
      <c r="Q4145">
        <v>0.55</v>
      </c>
      <c r="R4145"/>
      <c r="S4145"/>
      <c r="T4145"/>
      <c r="U4145"/>
      <c r="V4145"/>
      <c r="W4145">
        <v>18</v>
      </c>
    </row>
    <row r="4146" spans="1:23">
      <c r="A4146"/>
      <c r="B4146" t="s">
        <v>95</v>
      </c>
      <c r="C4146" t="s">
        <v>95</v>
      </c>
      <c r="D4146" t="s">
        <v>33</v>
      </c>
      <c r="E4146" t="s">
        <v>34</v>
      </c>
      <c r="F4146" t="str">
        <f>"0004430"</f>
        <v>0004430</v>
      </c>
      <c r="G4146">
        <v>1</v>
      </c>
      <c r="H4146" t="str">
        <f>"00000000"</f>
        <v>00000000</v>
      </c>
      <c r="I4146" t="s">
        <v>35</v>
      </c>
      <c r="J4146"/>
      <c r="K4146">
        <v>19.49</v>
      </c>
      <c r="L4146">
        <v>0.0</v>
      </c>
      <c r="M4146"/>
      <c r="N4146"/>
      <c r="O4146">
        <v>3.51</v>
      </c>
      <c r="P4146">
        <v>0.0</v>
      </c>
      <c r="Q4146">
        <v>23.0</v>
      </c>
      <c r="R4146"/>
      <c r="S4146"/>
      <c r="T4146"/>
      <c r="U4146"/>
      <c r="V4146"/>
      <c r="W4146">
        <v>18</v>
      </c>
    </row>
    <row r="4147" spans="1:23">
      <c r="A4147"/>
      <c r="B4147" t="s">
        <v>95</v>
      </c>
      <c r="C4147" t="s">
        <v>95</v>
      </c>
      <c r="D4147" t="s">
        <v>33</v>
      </c>
      <c r="E4147" t="s">
        <v>34</v>
      </c>
      <c r="F4147" t="str">
        <f>"0004431"</f>
        <v>0004431</v>
      </c>
      <c r="G4147">
        <v>1</v>
      </c>
      <c r="H4147" t="str">
        <f>"00000000"</f>
        <v>00000000</v>
      </c>
      <c r="I4147" t="s">
        <v>35</v>
      </c>
      <c r="J4147"/>
      <c r="K4147">
        <v>8.75</v>
      </c>
      <c r="L4147">
        <v>3.28</v>
      </c>
      <c r="M4147"/>
      <c r="N4147"/>
      <c r="O4147">
        <v>1.57</v>
      </c>
      <c r="P4147">
        <v>0.2</v>
      </c>
      <c r="Q4147">
        <v>13.81</v>
      </c>
      <c r="R4147"/>
      <c r="S4147"/>
      <c r="T4147"/>
      <c r="U4147"/>
      <c r="V4147"/>
      <c r="W4147">
        <v>18</v>
      </c>
    </row>
    <row r="4148" spans="1:23">
      <c r="A4148"/>
      <c r="B4148" t="s">
        <v>95</v>
      </c>
      <c r="C4148" t="s">
        <v>95</v>
      </c>
      <c r="D4148" t="s">
        <v>33</v>
      </c>
      <c r="E4148" t="s">
        <v>34</v>
      </c>
      <c r="F4148" t="str">
        <f>"0004432"</f>
        <v>0004432</v>
      </c>
      <c r="G4148">
        <v>1</v>
      </c>
      <c r="H4148" t="str">
        <f>"00000000"</f>
        <v>00000000</v>
      </c>
      <c r="I4148" t="s">
        <v>35</v>
      </c>
      <c r="J4148"/>
      <c r="K4148">
        <v>0.02</v>
      </c>
      <c r="L4148">
        <v>13.48</v>
      </c>
      <c r="M4148"/>
      <c r="N4148"/>
      <c r="O4148">
        <v>0.0</v>
      </c>
      <c r="P4148">
        <v>0.2</v>
      </c>
      <c r="Q4148">
        <v>13.7</v>
      </c>
      <c r="R4148"/>
      <c r="S4148"/>
      <c r="T4148"/>
      <c r="U4148"/>
      <c r="V4148"/>
      <c r="W4148">
        <v>18</v>
      </c>
    </row>
    <row r="4149" spans="1:23">
      <c r="A4149"/>
      <c r="B4149" t="s">
        <v>95</v>
      </c>
      <c r="C4149" t="s">
        <v>95</v>
      </c>
      <c r="D4149" t="s">
        <v>33</v>
      </c>
      <c r="E4149" t="s">
        <v>34</v>
      </c>
      <c r="F4149" t="str">
        <f>"0004433"</f>
        <v>0004433</v>
      </c>
      <c r="G4149">
        <v>1</v>
      </c>
      <c r="H4149" t="str">
        <f>"00000000"</f>
        <v>00000000</v>
      </c>
      <c r="I4149" t="s">
        <v>35</v>
      </c>
      <c r="J4149"/>
      <c r="K4149">
        <v>0.0</v>
      </c>
      <c r="L4149">
        <v>2.33</v>
      </c>
      <c r="M4149"/>
      <c r="N4149"/>
      <c r="O4149">
        <v>0.0</v>
      </c>
      <c r="P4149">
        <v>0.0</v>
      </c>
      <c r="Q4149">
        <v>2.33</v>
      </c>
      <c r="R4149"/>
      <c r="S4149"/>
      <c r="T4149"/>
      <c r="U4149"/>
      <c r="V4149"/>
      <c r="W4149">
        <v>18</v>
      </c>
    </row>
    <row r="4150" spans="1:23">
      <c r="A4150"/>
      <c r="B4150" t="s">
        <v>95</v>
      </c>
      <c r="C4150" t="s">
        <v>95</v>
      </c>
      <c r="D4150" t="s">
        <v>33</v>
      </c>
      <c r="E4150" t="s">
        <v>34</v>
      </c>
      <c r="F4150" t="str">
        <f>"0004434"</f>
        <v>0004434</v>
      </c>
      <c r="G4150">
        <v>1</v>
      </c>
      <c r="H4150" t="str">
        <f>"00000000"</f>
        <v>00000000</v>
      </c>
      <c r="I4150" t="s">
        <v>35</v>
      </c>
      <c r="J4150"/>
      <c r="K4150">
        <v>0.0</v>
      </c>
      <c r="L4150">
        <v>6.94</v>
      </c>
      <c r="M4150"/>
      <c r="N4150"/>
      <c r="O4150">
        <v>0.0</v>
      </c>
      <c r="P4150">
        <v>0.0</v>
      </c>
      <c r="Q4150">
        <v>6.94</v>
      </c>
      <c r="R4150"/>
      <c r="S4150"/>
      <c r="T4150"/>
      <c r="U4150"/>
      <c r="V4150"/>
      <c r="W4150">
        <v>18</v>
      </c>
    </row>
    <row r="4151" spans="1:23">
      <c r="A4151"/>
      <c r="B4151" t="s">
        <v>95</v>
      </c>
      <c r="C4151" t="s">
        <v>95</v>
      </c>
      <c r="D4151" t="s">
        <v>33</v>
      </c>
      <c r="E4151" t="s">
        <v>34</v>
      </c>
      <c r="F4151" t="str">
        <f>"0004435"</f>
        <v>0004435</v>
      </c>
      <c r="G4151">
        <v>1</v>
      </c>
      <c r="H4151" t="str">
        <f>"00000000"</f>
        <v>00000000</v>
      </c>
      <c r="I4151" t="s">
        <v>35</v>
      </c>
      <c r="J4151"/>
      <c r="K4151">
        <v>10.1</v>
      </c>
      <c r="L4151">
        <v>8.5</v>
      </c>
      <c r="M4151"/>
      <c r="N4151"/>
      <c r="O4151">
        <v>1.82</v>
      </c>
      <c r="P4151">
        <v>0.2</v>
      </c>
      <c r="Q4151">
        <v>20.62</v>
      </c>
      <c r="R4151"/>
      <c r="S4151"/>
      <c r="T4151"/>
      <c r="U4151"/>
      <c r="V4151"/>
      <c r="W4151">
        <v>18</v>
      </c>
    </row>
    <row r="4152" spans="1:23">
      <c r="A4152"/>
      <c r="B4152" t="s">
        <v>95</v>
      </c>
      <c r="C4152" t="s">
        <v>95</v>
      </c>
      <c r="D4152" t="s">
        <v>33</v>
      </c>
      <c r="E4152" t="s">
        <v>34</v>
      </c>
      <c r="F4152" t="str">
        <f>"0004436"</f>
        <v>0004436</v>
      </c>
      <c r="G4152">
        <v>1</v>
      </c>
      <c r="H4152" t="str">
        <f>"00000000"</f>
        <v>00000000</v>
      </c>
      <c r="I4152" t="s">
        <v>35</v>
      </c>
      <c r="J4152"/>
      <c r="K4152">
        <v>8.49</v>
      </c>
      <c r="L4152">
        <v>0.0</v>
      </c>
      <c r="M4152"/>
      <c r="N4152"/>
      <c r="O4152">
        <v>1.53</v>
      </c>
      <c r="P4152">
        <v>0.2</v>
      </c>
      <c r="Q4152">
        <v>10.22</v>
      </c>
      <c r="R4152"/>
      <c r="S4152"/>
      <c r="T4152"/>
      <c r="U4152"/>
      <c r="V4152"/>
      <c r="W4152">
        <v>18</v>
      </c>
    </row>
    <row r="4153" spans="1:23">
      <c r="A4153"/>
      <c r="B4153" t="s">
        <v>95</v>
      </c>
      <c r="C4153" t="s">
        <v>95</v>
      </c>
      <c r="D4153" t="s">
        <v>33</v>
      </c>
      <c r="E4153" t="s">
        <v>34</v>
      </c>
      <c r="F4153" t="str">
        <f>"0004437"</f>
        <v>0004437</v>
      </c>
      <c r="G4153">
        <v>1</v>
      </c>
      <c r="H4153" t="str">
        <f>"00000000"</f>
        <v>00000000</v>
      </c>
      <c r="I4153" t="s">
        <v>35</v>
      </c>
      <c r="J4153"/>
      <c r="K4153">
        <v>23.11</v>
      </c>
      <c r="L4153">
        <v>4.39</v>
      </c>
      <c r="M4153"/>
      <c r="N4153"/>
      <c r="O4153">
        <v>4.16</v>
      </c>
      <c r="P4153">
        <v>0.2</v>
      </c>
      <c r="Q4153">
        <v>31.86</v>
      </c>
      <c r="R4153"/>
      <c r="S4153"/>
      <c r="T4153"/>
      <c r="U4153"/>
      <c r="V4153"/>
      <c r="W4153">
        <v>18</v>
      </c>
    </row>
    <row r="4154" spans="1:23">
      <c r="A4154"/>
      <c r="B4154" t="s">
        <v>95</v>
      </c>
      <c r="C4154" t="s">
        <v>95</v>
      </c>
      <c r="D4154" t="s">
        <v>33</v>
      </c>
      <c r="E4154" t="s">
        <v>34</v>
      </c>
      <c r="F4154" t="str">
        <f>"0004438"</f>
        <v>0004438</v>
      </c>
      <c r="G4154">
        <v>1</v>
      </c>
      <c r="H4154" t="str">
        <f>"00000000"</f>
        <v>00000000</v>
      </c>
      <c r="I4154" t="s">
        <v>35</v>
      </c>
      <c r="J4154"/>
      <c r="K4154">
        <v>1.02</v>
      </c>
      <c r="L4154">
        <v>3.85</v>
      </c>
      <c r="M4154"/>
      <c r="N4154"/>
      <c r="O4154">
        <v>0.18</v>
      </c>
      <c r="P4154">
        <v>0.0</v>
      </c>
      <c r="Q4154">
        <v>5.05</v>
      </c>
      <c r="R4154"/>
      <c r="S4154"/>
      <c r="T4154"/>
      <c r="U4154"/>
      <c r="V4154"/>
      <c r="W4154">
        <v>18</v>
      </c>
    </row>
    <row r="4155" spans="1:23">
      <c r="A4155"/>
      <c r="B4155" t="s">
        <v>95</v>
      </c>
      <c r="C4155" t="s">
        <v>95</v>
      </c>
      <c r="D4155" t="s">
        <v>33</v>
      </c>
      <c r="E4155" t="s">
        <v>34</v>
      </c>
      <c r="F4155" t="str">
        <f>"0004439"</f>
        <v>0004439</v>
      </c>
      <c r="G4155">
        <v>1</v>
      </c>
      <c r="H4155" t="str">
        <f>"00000000"</f>
        <v>00000000</v>
      </c>
      <c r="I4155" t="s">
        <v>35</v>
      </c>
      <c r="J4155"/>
      <c r="K4155">
        <v>14.41</v>
      </c>
      <c r="L4155">
        <v>0.0</v>
      </c>
      <c r="M4155"/>
      <c r="N4155"/>
      <c r="O4155">
        <v>2.59</v>
      </c>
      <c r="P4155">
        <v>0.0</v>
      </c>
      <c r="Q4155">
        <v>17.0</v>
      </c>
      <c r="R4155"/>
      <c r="S4155"/>
      <c r="T4155"/>
      <c r="U4155"/>
      <c r="V4155"/>
      <c r="W4155">
        <v>18</v>
      </c>
    </row>
    <row r="4156" spans="1:23">
      <c r="A4156"/>
      <c r="B4156" t="s">
        <v>95</v>
      </c>
      <c r="C4156" t="s">
        <v>95</v>
      </c>
      <c r="D4156" t="s">
        <v>33</v>
      </c>
      <c r="E4156" t="s">
        <v>34</v>
      </c>
      <c r="F4156" t="str">
        <f>"0004440"</f>
        <v>0004440</v>
      </c>
      <c r="G4156">
        <v>1</v>
      </c>
      <c r="H4156" t="str">
        <f>"00000000"</f>
        <v>00000000</v>
      </c>
      <c r="I4156" t="s">
        <v>35</v>
      </c>
      <c r="J4156"/>
      <c r="K4156">
        <v>101.54</v>
      </c>
      <c r="L4156">
        <v>0.0</v>
      </c>
      <c r="M4156"/>
      <c r="N4156"/>
      <c r="O4156">
        <v>18.28</v>
      </c>
      <c r="P4156">
        <v>0.4</v>
      </c>
      <c r="Q4156">
        <v>120.22</v>
      </c>
      <c r="R4156"/>
      <c r="S4156"/>
      <c r="T4156"/>
      <c r="U4156"/>
      <c r="V4156"/>
      <c r="W4156">
        <v>18</v>
      </c>
    </row>
    <row r="4157" spans="1:23">
      <c r="A4157"/>
      <c r="B4157" t="s">
        <v>95</v>
      </c>
      <c r="C4157" t="s">
        <v>95</v>
      </c>
      <c r="D4157" t="s">
        <v>33</v>
      </c>
      <c r="E4157" t="s">
        <v>34</v>
      </c>
      <c r="F4157" t="str">
        <f>"0004441"</f>
        <v>0004441</v>
      </c>
      <c r="G4157">
        <v>1</v>
      </c>
      <c r="H4157" t="str">
        <f>"00000000"</f>
        <v>00000000</v>
      </c>
      <c r="I4157" t="s">
        <v>35</v>
      </c>
      <c r="J4157"/>
      <c r="K4157">
        <v>5.76</v>
      </c>
      <c r="L4157">
        <v>0.0</v>
      </c>
      <c r="M4157"/>
      <c r="N4157"/>
      <c r="O4157">
        <v>1.04</v>
      </c>
      <c r="P4157">
        <v>0.0</v>
      </c>
      <c r="Q4157">
        <v>6.8</v>
      </c>
      <c r="R4157"/>
      <c r="S4157"/>
      <c r="T4157"/>
      <c r="U4157"/>
      <c r="V4157"/>
      <c r="W4157">
        <v>18</v>
      </c>
    </row>
    <row r="4158" spans="1:23">
      <c r="A4158"/>
      <c r="B4158" t="s">
        <v>95</v>
      </c>
      <c r="C4158" t="s">
        <v>95</v>
      </c>
      <c r="D4158" t="s">
        <v>33</v>
      </c>
      <c r="E4158" t="s">
        <v>34</v>
      </c>
      <c r="F4158" t="str">
        <f>"0004442"</f>
        <v>0004442</v>
      </c>
      <c r="G4158">
        <v>1</v>
      </c>
      <c r="H4158" t="str">
        <f>"00000000"</f>
        <v>00000000</v>
      </c>
      <c r="I4158" t="s">
        <v>35</v>
      </c>
      <c r="J4158"/>
      <c r="K4158">
        <v>4.24</v>
      </c>
      <c r="L4158">
        <v>0.0</v>
      </c>
      <c r="M4158"/>
      <c r="N4158"/>
      <c r="O4158">
        <v>0.76</v>
      </c>
      <c r="P4158">
        <v>0.0</v>
      </c>
      <c r="Q4158">
        <v>5.0</v>
      </c>
      <c r="R4158"/>
      <c r="S4158"/>
      <c r="T4158"/>
      <c r="U4158"/>
      <c r="V4158"/>
      <c r="W4158">
        <v>18</v>
      </c>
    </row>
    <row r="4159" spans="1:23">
      <c r="A4159"/>
      <c r="B4159" t="s">
        <v>95</v>
      </c>
      <c r="C4159" t="s">
        <v>95</v>
      </c>
      <c r="D4159" t="s">
        <v>33</v>
      </c>
      <c r="E4159" t="s">
        <v>34</v>
      </c>
      <c r="F4159" t="str">
        <f>"0004443"</f>
        <v>0004443</v>
      </c>
      <c r="G4159">
        <v>1</v>
      </c>
      <c r="H4159" t="str">
        <f>"00000000"</f>
        <v>00000000</v>
      </c>
      <c r="I4159" t="s">
        <v>35</v>
      </c>
      <c r="J4159"/>
      <c r="K4159">
        <v>45.78</v>
      </c>
      <c r="L4159">
        <v>0.0</v>
      </c>
      <c r="M4159"/>
      <c r="N4159"/>
      <c r="O4159">
        <v>8.24</v>
      </c>
      <c r="P4159">
        <v>0.2</v>
      </c>
      <c r="Q4159">
        <v>54.22</v>
      </c>
      <c r="R4159"/>
      <c r="S4159"/>
      <c r="T4159"/>
      <c r="U4159"/>
      <c r="V4159"/>
      <c r="W4159">
        <v>18</v>
      </c>
    </row>
    <row r="4160" spans="1:23">
      <c r="A4160"/>
      <c r="B4160" t="s">
        <v>95</v>
      </c>
      <c r="C4160" t="s">
        <v>95</v>
      </c>
      <c r="D4160" t="s">
        <v>33</v>
      </c>
      <c r="E4160" t="s">
        <v>34</v>
      </c>
      <c r="F4160" t="str">
        <f>"0004444"</f>
        <v>0004444</v>
      </c>
      <c r="G4160">
        <v>1</v>
      </c>
      <c r="H4160" t="str">
        <f>"00000000"</f>
        <v>00000000</v>
      </c>
      <c r="I4160" t="s">
        <v>35</v>
      </c>
      <c r="J4160"/>
      <c r="K4160">
        <v>60.95</v>
      </c>
      <c r="L4160">
        <v>62.42</v>
      </c>
      <c r="M4160"/>
      <c r="N4160"/>
      <c r="O4160">
        <v>10.97</v>
      </c>
      <c r="P4160">
        <v>0.6</v>
      </c>
      <c r="Q4160">
        <v>134.94</v>
      </c>
      <c r="R4160"/>
      <c r="S4160"/>
      <c r="T4160"/>
      <c r="U4160"/>
      <c r="V4160"/>
      <c r="W4160">
        <v>18</v>
      </c>
    </row>
    <row r="4161" spans="1:23">
      <c r="A4161"/>
      <c r="B4161" t="s">
        <v>95</v>
      </c>
      <c r="C4161" t="s">
        <v>95</v>
      </c>
      <c r="D4161" t="s">
        <v>33</v>
      </c>
      <c r="E4161" t="s">
        <v>34</v>
      </c>
      <c r="F4161" t="str">
        <f>"0004445"</f>
        <v>0004445</v>
      </c>
      <c r="G4161">
        <v>1</v>
      </c>
      <c r="H4161" t="str">
        <f>"00000000"</f>
        <v>00000000</v>
      </c>
      <c r="I4161" t="s">
        <v>35</v>
      </c>
      <c r="J4161"/>
      <c r="K4161">
        <v>3.05</v>
      </c>
      <c r="L4161">
        <v>0.0</v>
      </c>
      <c r="M4161"/>
      <c r="N4161"/>
      <c r="O4161">
        <v>0.55</v>
      </c>
      <c r="P4161">
        <v>0.0</v>
      </c>
      <c r="Q4161">
        <v>3.6</v>
      </c>
      <c r="R4161"/>
      <c r="S4161"/>
      <c r="T4161"/>
      <c r="U4161"/>
      <c r="V4161"/>
      <c r="W4161">
        <v>18</v>
      </c>
    </row>
    <row r="4162" spans="1:23">
      <c r="A4162"/>
      <c r="B4162" t="s">
        <v>95</v>
      </c>
      <c r="C4162" t="s">
        <v>95</v>
      </c>
      <c r="D4162" t="s">
        <v>33</v>
      </c>
      <c r="E4162" t="s">
        <v>34</v>
      </c>
      <c r="F4162" t="str">
        <f>"0004446"</f>
        <v>0004446</v>
      </c>
      <c r="G4162">
        <v>1</v>
      </c>
      <c r="H4162" t="str">
        <f>"00000000"</f>
        <v>00000000</v>
      </c>
      <c r="I4162" t="s">
        <v>35</v>
      </c>
      <c r="J4162"/>
      <c r="K4162">
        <v>0.0</v>
      </c>
      <c r="L4162">
        <v>1.63</v>
      </c>
      <c r="M4162"/>
      <c r="N4162"/>
      <c r="O4162">
        <v>0.0</v>
      </c>
      <c r="P4162">
        <v>0.0</v>
      </c>
      <c r="Q4162">
        <v>1.63</v>
      </c>
      <c r="R4162"/>
      <c r="S4162"/>
      <c r="T4162"/>
      <c r="U4162"/>
      <c r="V4162"/>
      <c r="W4162">
        <v>18</v>
      </c>
    </row>
    <row r="4163" spans="1:23">
      <c r="A4163"/>
      <c r="B4163" t="s">
        <v>95</v>
      </c>
      <c r="C4163" t="s">
        <v>95</v>
      </c>
      <c r="D4163" t="s">
        <v>33</v>
      </c>
      <c r="E4163" t="s">
        <v>34</v>
      </c>
      <c r="F4163" t="str">
        <f>"0004447"</f>
        <v>0004447</v>
      </c>
      <c r="G4163">
        <v>1</v>
      </c>
      <c r="H4163" t="str">
        <f>"00000000"</f>
        <v>00000000</v>
      </c>
      <c r="I4163" t="s">
        <v>35</v>
      </c>
      <c r="J4163"/>
      <c r="K4163">
        <v>5.51</v>
      </c>
      <c r="L4163">
        <v>0.0</v>
      </c>
      <c r="M4163"/>
      <c r="N4163"/>
      <c r="O4163">
        <v>0.99</v>
      </c>
      <c r="P4163">
        <v>0.0</v>
      </c>
      <c r="Q4163">
        <v>6.5</v>
      </c>
      <c r="R4163"/>
      <c r="S4163"/>
      <c r="T4163"/>
      <c r="U4163"/>
      <c r="V4163"/>
      <c r="W4163">
        <v>18</v>
      </c>
    </row>
    <row r="4164" spans="1:23">
      <c r="A4164"/>
      <c r="B4164" t="s">
        <v>95</v>
      </c>
      <c r="C4164" t="s">
        <v>95</v>
      </c>
      <c r="D4164" t="s">
        <v>33</v>
      </c>
      <c r="E4164" t="s">
        <v>34</v>
      </c>
      <c r="F4164" t="str">
        <f>"0004448"</f>
        <v>0004448</v>
      </c>
      <c r="G4164">
        <v>1</v>
      </c>
      <c r="H4164" t="str">
        <f>"00000000"</f>
        <v>00000000</v>
      </c>
      <c r="I4164" t="s">
        <v>35</v>
      </c>
      <c r="J4164"/>
      <c r="K4164">
        <v>41.54</v>
      </c>
      <c r="L4164">
        <v>0.0</v>
      </c>
      <c r="M4164"/>
      <c r="N4164"/>
      <c r="O4164">
        <v>7.48</v>
      </c>
      <c r="P4164">
        <v>0.2</v>
      </c>
      <c r="Q4164">
        <v>49.22</v>
      </c>
      <c r="R4164"/>
      <c r="S4164"/>
      <c r="T4164"/>
      <c r="U4164"/>
      <c r="V4164"/>
      <c r="W4164">
        <v>18</v>
      </c>
    </row>
    <row r="4165" spans="1:23">
      <c r="A4165"/>
      <c r="B4165" t="s">
        <v>95</v>
      </c>
      <c r="C4165" t="s">
        <v>95</v>
      </c>
      <c r="D4165" t="s">
        <v>33</v>
      </c>
      <c r="E4165" t="s">
        <v>34</v>
      </c>
      <c r="F4165" t="str">
        <f>"0004449"</f>
        <v>0004449</v>
      </c>
      <c r="G4165">
        <v>1</v>
      </c>
      <c r="H4165" t="str">
        <f>"00000000"</f>
        <v>00000000</v>
      </c>
      <c r="I4165" t="s">
        <v>35</v>
      </c>
      <c r="J4165"/>
      <c r="K4165">
        <v>9.66</v>
      </c>
      <c r="L4165">
        <v>0.0</v>
      </c>
      <c r="M4165"/>
      <c r="N4165"/>
      <c r="O4165">
        <v>1.74</v>
      </c>
      <c r="P4165">
        <v>0.0</v>
      </c>
      <c r="Q4165">
        <v>11.4</v>
      </c>
      <c r="R4165"/>
      <c r="S4165"/>
      <c r="T4165"/>
      <c r="U4165"/>
      <c r="V4165"/>
      <c r="W4165">
        <v>18</v>
      </c>
    </row>
    <row r="4166" spans="1:23">
      <c r="A4166"/>
      <c r="B4166" t="s">
        <v>95</v>
      </c>
      <c r="C4166" t="s">
        <v>95</v>
      </c>
      <c r="D4166" t="s">
        <v>33</v>
      </c>
      <c r="E4166" t="s">
        <v>34</v>
      </c>
      <c r="F4166" t="str">
        <f>"0004450"</f>
        <v>0004450</v>
      </c>
      <c r="G4166">
        <v>1</v>
      </c>
      <c r="H4166" t="str">
        <f>"00000000"</f>
        <v>00000000</v>
      </c>
      <c r="I4166" t="s">
        <v>35</v>
      </c>
      <c r="J4166"/>
      <c r="K4166">
        <v>2.29</v>
      </c>
      <c r="L4166">
        <v>0.0</v>
      </c>
      <c r="M4166"/>
      <c r="N4166"/>
      <c r="O4166">
        <v>0.41</v>
      </c>
      <c r="P4166">
        <v>0.0</v>
      </c>
      <c r="Q4166">
        <v>2.7</v>
      </c>
      <c r="R4166"/>
      <c r="S4166"/>
      <c r="T4166"/>
      <c r="U4166"/>
      <c r="V4166"/>
      <c r="W4166">
        <v>18</v>
      </c>
    </row>
    <row r="4167" spans="1:23">
      <c r="A4167"/>
      <c r="B4167" t="s">
        <v>95</v>
      </c>
      <c r="C4167" t="s">
        <v>95</v>
      </c>
      <c r="D4167" t="s">
        <v>33</v>
      </c>
      <c r="E4167" t="s">
        <v>34</v>
      </c>
      <c r="F4167" t="str">
        <f>"0004451"</f>
        <v>0004451</v>
      </c>
      <c r="G4167">
        <v>1</v>
      </c>
      <c r="H4167" t="str">
        <f>"00000000"</f>
        <v>00000000</v>
      </c>
      <c r="I4167" t="s">
        <v>35</v>
      </c>
      <c r="J4167"/>
      <c r="K4167">
        <v>3.89</v>
      </c>
      <c r="L4167">
        <v>0.0</v>
      </c>
      <c r="M4167"/>
      <c r="N4167"/>
      <c r="O4167">
        <v>0.7</v>
      </c>
      <c r="P4167">
        <v>0.0</v>
      </c>
      <c r="Q4167">
        <v>4.59</v>
      </c>
      <c r="R4167"/>
      <c r="S4167"/>
      <c r="T4167"/>
      <c r="U4167"/>
      <c r="V4167"/>
      <c r="W4167">
        <v>18</v>
      </c>
    </row>
    <row r="4168" spans="1:23">
      <c r="A4168"/>
      <c r="B4168" t="s">
        <v>95</v>
      </c>
      <c r="C4168" t="s">
        <v>95</v>
      </c>
      <c r="D4168" t="s">
        <v>33</v>
      </c>
      <c r="E4168" t="s">
        <v>34</v>
      </c>
      <c r="F4168" t="str">
        <f>"0004452"</f>
        <v>0004452</v>
      </c>
      <c r="G4168">
        <v>1</v>
      </c>
      <c r="H4168" t="str">
        <f>"00000000"</f>
        <v>00000000</v>
      </c>
      <c r="I4168" t="s">
        <v>35</v>
      </c>
      <c r="J4168"/>
      <c r="K4168">
        <v>28.62</v>
      </c>
      <c r="L4168">
        <v>0.0</v>
      </c>
      <c r="M4168"/>
      <c r="N4168"/>
      <c r="O4168">
        <v>5.15</v>
      </c>
      <c r="P4168">
        <v>0.2</v>
      </c>
      <c r="Q4168">
        <v>33.97</v>
      </c>
      <c r="R4168"/>
      <c r="S4168"/>
      <c r="T4168"/>
      <c r="U4168"/>
      <c r="V4168"/>
      <c r="W4168">
        <v>18</v>
      </c>
    </row>
    <row r="4169" spans="1:23">
      <c r="A4169"/>
      <c r="B4169" t="s">
        <v>95</v>
      </c>
      <c r="C4169" t="s">
        <v>95</v>
      </c>
      <c r="D4169" t="s">
        <v>33</v>
      </c>
      <c r="E4169" t="s">
        <v>34</v>
      </c>
      <c r="F4169" t="str">
        <f>"0004453"</f>
        <v>0004453</v>
      </c>
      <c r="G4169">
        <v>1</v>
      </c>
      <c r="H4169" t="str">
        <f>"00000000"</f>
        <v>00000000</v>
      </c>
      <c r="I4169" t="s">
        <v>35</v>
      </c>
      <c r="J4169"/>
      <c r="K4169">
        <v>0.44</v>
      </c>
      <c r="L4169">
        <v>4.02</v>
      </c>
      <c r="M4169"/>
      <c r="N4169"/>
      <c r="O4169">
        <v>0.08</v>
      </c>
      <c r="P4169">
        <v>0.2</v>
      </c>
      <c r="Q4169">
        <v>4.74</v>
      </c>
      <c r="R4169"/>
      <c r="S4169"/>
      <c r="T4169"/>
      <c r="U4169"/>
      <c r="V4169"/>
      <c r="W4169">
        <v>18</v>
      </c>
    </row>
    <row r="4170" spans="1:23">
      <c r="A4170"/>
      <c r="B4170" t="s">
        <v>95</v>
      </c>
      <c r="C4170" t="s">
        <v>95</v>
      </c>
      <c r="D4170" t="s">
        <v>33</v>
      </c>
      <c r="E4170" t="s">
        <v>34</v>
      </c>
      <c r="F4170" t="str">
        <f>"0004454"</f>
        <v>0004454</v>
      </c>
      <c r="G4170">
        <v>1</v>
      </c>
      <c r="H4170" t="str">
        <f>"00000000"</f>
        <v>00000000</v>
      </c>
      <c r="I4170" t="s">
        <v>35</v>
      </c>
      <c r="J4170"/>
      <c r="K4170">
        <v>4.85</v>
      </c>
      <c r="L4170">
        <v>0.0</v>
      </c>
      <c r="M4170"/>
      <c r="N4170"/>
      <c r="O4170">
        <v>0.87</v>
      </c>
      <c r="P4170">
        <v>0.2</v>
      </c>
      <c r="Q4170">
        <v>5.92</v>
      </c>
      <c r="R4170"/>
      <c r="S4170"/>
      <c r="T4170"/>
      <c r="U4170"/>
      <c r="V4170"/>
      <c r="W4170">
        <v>18</v>
      </c>
    </row>
    <row r="4171" spans="1:23">
      <c r="A4171"/>
      <c r="B4171" t="s">
        <v>95</v>
      </c>
      <c r="C4171" t="s">
        <v>95</v>
      </c>
      <c r="D4171" t="s">
        <v>33</v>
      </c>
      <c r="E4171" t="s">
        <v>34</v>
      </c>
      <c r="F4171" t="str">
        <f>"0004455"</f>
        <v>0004455</v>
      </c>
      <c r="G4171">
        <v>1</v>
      </c>
      <c r="H4171" t="str">
        <f>"00000000"</f>
        <v>00000000</v>
      </c>
      <c r="I4171" t="s">
        <v>35</v>
      </c>
      <c r="J4171"/>
      <c r="K4171">
        <v>34.75</v>
      </c>
      <c r="L4171">
        <v>0.0</v>
      </c>
      <c r="M4171"/>
      <c r="N4171"/>
      <c r="O4171">
        <v>6.25</v>
      </c>
      <c r="P4171">
        <v>0.0</v>
      </c>
      <c r="Q4171">
        <v>41.0</v>
      </c>
      <c r="R4171"/>
      <c r="S4171"/>
      <c r="T4171"/>
      <c r="U4171"/>
      <c r="V4171"/>
      <c r="W4171">
        <v>18</v>
      </c>
    </row>
    <row r="4172" spans="1:23">
      <c r="A4172"/>
      <c r="B4172" t="s">
        <v>95</v>
      </c>
      <c r="C4172" t="s">
        <v>95</v>
      </c>
      <c r="D4172" t="s">
        <v>33</v>
      </c>
      <c r="E4172" t="s">
        <v>34</v>
      </c>
      <c r="F4172" t="str">
        <f>"0004456"</f>
        <v>0004456</v>
      </c>
      <c r="G4172">
        <v>1</v>
      </c>
      <c r="H4172" t="str">
        <f>"00000000"</f>
        <v>00000000</v>
      </c>
      <c r="I4172" t="s">
        <v>35</v>
      </c>
      <c r="J4172"/>
      <c r="K4172">
        <v>6.36</v>
      </c>
      <c r="L4172">
        <v>0.0</v>
      </c>
      <c r="M4172"/>
      <c r="N4172"/>
      <c r="O4172">
        <v>1.14</v>
      </c>
      <c r="P4172">
        <v>0.0</v>
      </c>
      <c r="Q4172">
        <v>7.5</v>
      </c>
      <c r="R4172"/>
      <c r="S4172"/>
      <c r="T4172"/>
      <c r="U4172"/>
      <c r="V4172"/>
      <c r="W4172">
        <v>18</v>
      </c>
    </row>
    <row r="4173" spans="1:23">
      <c r="A4173"/>
      <c r="B4173" t="s">
        <v>95</v>
      </c>
      <c r="C4173" t="s">
        <v>95</v>
      </c>
      <c r="D4173" t="s">
        <v>33</v>
      </c>
      <c r="E4173" t="s">
        <v>34</v>
      </c>
      <c r="F4173" t="str">
        <f>"0004457"</f>
        <v>0004457</v>
      </c>
      <c r="G4173">
        <v>1</v>
      </c>
      <c r="H4173" t="str">
        <f>"00000000"</f>
        <v>00000000</v>
      </c>
      <c r="I4173" t="s">
        <v>35</v>
      </c>
      <c r="J4173"/>
      <c r="K4173">
        <v>13.07</v>
      </c>
      <c r="L4173">
        <v>5.32</v>
      </c>
      <c r="M4173"/>
      <c r="N4173"/>
      <c r="O4173">
        <v>2.35</v>
      </c>
      <c r="P4173">
        <v>0.2</v>
      </c>
      <c r="Q4173">
        <v>20.94</v>
      </c>
      <c r="R4173"/>
      <c r="S4173"/>
      <c r="T4173"/>
      <c r="U4173"/>
      <c r="V4173"/>
      <c r="W4173">
        <v>18</v>
      </c>
    </row>
    <row r="4174" spans="1:23">
      <c r="A4174"/>
      <c r="B4174" t="s">
        <v>95</v>
      </c>
      <c r="C4174" t="s">
        <v>95</v>
      </c>
      <c r="D4174" t="s">
        <v>33</v>
      </c>
      <c r="E4174" t="s">
        <v>34</v>
      </c>
      <c r="F4174" t="str">
        <f>"0004458"</f>
        <v>0004458</v>
      </c>
      <c r="G4174">
        <v>1</v>
      </c>
      <c r="H4174" t="str">
        <f>"00000000"</f>
        <v>00000000</v>
      </c>
      <c r="I4174" t="s">
        <v>35</v>
      </c>
      <c r="J4174"/>
      <c r="K4174">
        <v>22.47</v>
      </c>
      <c r="L4174">
        <v>0.0</v>
      </c>
      <c r="M4174"/>
      <c r="N4174"/>
      <c r="O4174">
        <v>4.05</v>
      </c>
      <c r="P4174">
        <v>0.2</v>
      </c>
      <c r="Q4174">
        <v>26.72</v>
      </c>
      <c r="R4174"/>
      <c r="S4174"/>
      <c r="T4174"/>
      <c r="U4174"/>
      <c r="V4174"/>
      <c r="W4174">
        <v>18</v>
      </c>
    </row>
    <row r="4175" spans="1:23">
      <c r="A4175"/>
      <c r="B4175" t="s">
        <v>95</v>
      </c>
      <c r="C4175" t="s">
        <v>95</v>
      </c>
      <c r="D4175" t="s">
        <v>33</v>
      </c>
      <c r="E4175" t="s">
        <v>34</v>
      </c>
      <c r="F4175" t="str">
        <f>"0004459"</f>
        <v>0004459</v>
      </c>
      <c r="G4175">
        <v>1</v>
      </c>
      <c r="H4175" t="str">
        <f>"00000000"</f>
        <v>00000000</v>
      </c>
      <c r="I4175" t="s">
        <v>35</v>
      </c>
      <c r="J4175"/>
      <c r="K4175">
        <v>24.57</v>
      </c>
      <c r="L4175">
        <v>0.0</v>
      </c>
      <c r="M4175"/>
      <c r="N4175"/>
      <c r="O4175">
        <v>4.42</v>
      </c>
      <c r="P4175">
        <v>0.0</v>
      </c>
      <c r="Q4175">
        <v>28.99</v>
      </c>
      <c r="R4175"/>
      <c r="S4175"/>
      <c r="T4175"/>
      <c r="U4175"/>
      <c r="V4175"/>
      <c r="W4175">
        <v>18</v>
      </c>
    </row>
    <row r="4176" spans="1:23">
      <c r="A4176"/>
      <c r="B4176" t="s">
        <v>95</v>
      </c>
      <c r="C4176" t="s">
        <v>95</v>
      </c>
      <c r="D4176" t="s">
        <v>33</v>
      </c>
      <c r="E4176" t="s">
        <v>34</v>
      </c>
      <c r="F4176" t="str">
        <f>"0004460"</f>
        <v>0004460</v>
      </c>
      <c r="G4176">
        <v>1</v>
      </c>
      <c r="H4176" t="str">
        <f>"00000000"</f>
        <v>00000000</v>
      </c>
      <c r="I4176" t="s">
        <v>35</v>
      </c>
      <c r="J4176"/>
      <c r="K4176">
        <v>2.53</v>
      </c>
      <c r="L4176">
        <v>0.0</v>
      </c>
      <c r="M4176"/>
      <c r="N4176"/>
      <c r="O4176">
        <v>0.46</v>
      </c>
      <c r="P4176">
        <v>0.0</v>
      </c>
      <c r="Q4176">
        <v>2.99</v>
      </c>
      <c r="R4176"/>
      <c r="S4176"/>
      <c r="T4176"/>
      <c r="U4176"/>
      <c r="V4176"/>
      <c r="W4176">
        <v>18</v>
      </c>
    </row>
    <row r="4177" spans="1:23">
      <c r="A4177"/>
      <c r="B4177" t="s">
        <v>95</v>
      </c>
      <c r="C4177" t="s">
        <v>95</v>
      </c>
      <c r="D4177" t="s">
        <v>33</v>
      </c>
      <c r="E4177" t="s">
        <v>34</v>
      </c>
      <c r="F4177" t="str">
        <f>"0004461"</f>
        <v>0004461</v>
      </c>
      <c r="G4177">
        <v>1</v>
      </c>
      <c r="H4177" t="str">
        <f>"00000000"</f>
        <v>00000000</v>
      </c>
      <c r="I4177" t="s">
        <v>35</v>
      </c>
      <c r="J4177"/>
      <c r="K4177">
        <v>3.89</v>
      </c>
      <c r="L4177">
        <v>0.89</v>
      </c>
      <c r="M4177"/>
      <c r="N4177"/>
      <c r="O4177">
        <v>0.7</v>
      </c>
      <c r="P4177">
        <v>0.0</v>
      </c>
      <c r="Q4177">
        <v>5.48</v>
      </c>
      <c r="R4177"/>
      <c r="S4177"/>
      <c r="T4177"/>
      <c r="U4177"/>
      <c r="V4177"/>
      <c r="W4177">
        <v>18</v>
      </c>
    </row>
    <row r="4178" spans="1:23">
      <c r="A4178"/>
      <c r="B4178" t="s">
        <v>95</v>
      </c>
      <c r="C4178" t="s">
        <v>95</v>
      </c>
      <c r="D4178" t="s">
        <v>36</v>
      </c>
      <c r="E4178" t="s">
        <v>37</v>
      </c>
      <c r="F4178" t="str">
        <f>"0000061"</f>
        <v>0000061</v>
      </c>
      <c r="G4178">
        <v>6</v>
      </c>
      <c r="H4178" t="str">
        <f>"20600886666"</f>
        <v>20600886666</v>
      </c>
      <c r="I4178" t="s">
        <v>99</v>
      </c>
      <c r="J4178"/>
      <c r="K4178">
        <v>29.59</v>
      </c>
      <c r="L4178">
        <v>0.0</v>
      </c>
      <c r="M4178"/>
      <c r="N4178"/>
      <c r="O4178">
        <v>5.33</v>
      </c>
      <c r="P4178">
        <v>0.2</v>
      </c>
      <c r="Q4178">
        <v>35.12</v>
      </c>
      <c r="R4178"/>
      <c r="S4178"/>
      <c r="T4178"/>
      <c r="U4178"/>
      <c r="V4178"/>
      <c r="W4178">
        <v>18</v>
      </c>
    </row>
    <row r="4179" spans="1:23">
      <c r="A4179"/>
      <c r="B4179" t="s">
        <v>95</v>
      </c>
      <c r="C4179" t="s">
        <v>95</v>
      </c>
      <c r="D4179" t="s">
        <v>36</v>
      </c>
      <c r="E4179" t="s">
        <v>37</v>
      </c>
      <c r="F4179" t="str">
        <f>"0000062"</f>
        <v>0000062</v>
      </c>
      <c r="G4179">
        <v>6</v>
      </c>
      <c r="H4179" t="str">
        <f>"20600886666"</f>
        <v>20600886666</v>
      </c>
      <c r="I4179" t="s">
        <v>99</v>
      </c>
      <c r="J4179"/>
      <c r="K4179">
        <v>11.12</v>
      </c>
      <c r="L4179">
        <v>0.0</v>
      </c>
      <c r="M4179"/>
      <c r="N4179"/>
      <c r="O4179">
        <v>2.0</v>
      </c>
      <c r="P4179">
        <v>0.2</v>
      </c>
      <c r="Q4179">
        <v>13.32</v>
      </c>
      <c r="R4179"/>
      <c r="S4179"/>
      <c r="T4179"/>
      <c r="U4179"/>
      <c r="V4179"/>
      <c r="W4179">
        <v>18</v>
      </c>
    </row>
    <row r="4180" spans="1:23">
      <c r="A4180"/>
      <c r="B4180" t="s">
        <v>95</v>
      </c>
      <c r="C4180" t="s">
        <v>95</v>
      </c>
      <c r="D4180" t="s">
        <v>36</v>
      </c>
      <c r="E4180" t="s">
        <v>37</v>
      </c>
      <c r="F4180" t="str">
        <f>"0000063"</f>
        <v>0000063</v>
      </c>
      <c r="G4180">
        <v>6</v>
      </c>
      <c r="H4180" t="str">
        <f>"20480646127"</f>
        <v>20480646127</v>
      </c>
      <c r="I4180" t="s">
        <v>100</v>
      </c>
      <c r="J4180"/>
      <c r="K4180">
        <v>39.61</v>
      </c>
      <c r="L4180">
        <v>0.0</v>
      </c>
      <c r="M4180"/>
      <c r="N4180"/>
      <c r="O4180">
        <v>7.13</v>
      </c>
      <c r="P4180">
        <v>0.4</v>
      </c>
      <c r="Q4180">
        <v>47.14</v>
      </c>
      <c r="R4180"/>
      <c r="S4180"/>
      <c r="T4180"/>
      <c r="U4180"/>
      <c r="V4180"/>
      <c r="W4180">
        <v>18</v>
      </c>
    </row>
    <row r="4181" spans="1:23">
      <c r="A4181"/>
      <c r="B4181" t="s">
        <v>95</v>
      </c>
      <c r="C4181" t="s">
        <v>95</v>
      </c>
      <c r="D4181" t="s">
        <v>33</v>
      </c>
      <c r="E4181" t="s">
        <v>34</v>
      </c>
      <c r="F4181" t="str">
        <f>"0004462"</f>
        <v>0004462</v>
      </c>
      <c r="G4181">
        <v>1</v>
      </c>
      <c r="H4181" t="str">
        <f>"00000000"</f>
        <v>00000000</v>
      </c>
      <c r="I4181" t="s">
        <v>35</v>
      </c>
      <c r="J4181"/>
      <c r="K4181">
        <v>5.08</v>
      </c>
      <c r="L4181">
        <v>0.0</v>
      </c>
      <c r="M4181"/>
      <c r="N4181"/>
      <c r="O4181">
        <v>0.92</v>
      </c>
      <c r="P4181">
        <v>0.0</v>
      </c>
      <c r="Q4181">
        <v>6.0</v>
      </c>
      <c r="R4181"/>
      <c r="S4181"/>
      <c r="T4181"/>
      <c r="U4181"/>
      <c r="V4181"/>
      <c r="W4181">
        <v>18</v>
      </c>
    </row>
    <row r="4182" spans="1:23">
      <c r="A4182"/>
      <c r="B4182" t="s">
        <v>95</v>
      </c>
      <c r="C4182" t="s">
        <v>95</v>
      </c>
      <c r="D4182" t="s">
        <v>33</v>
      </c>
      <c r="E4182" t="s">
        <v>34</v>
      </c>
      <c r="F4182" t="str">
        <f>"0004463"</f>
        <v>0004463</v>
      </c>
      <c r="G4182">
        <v>1</v>
      </c>
      <c r="H4182" t="str">
        <f>"00000000"</f>
        <v>00000000</v>
      </c>
      <c r="I4182" t="s">
        <v>35</v>
      </c>
      <c r="J4182"/>
      <c r="K4182">
        <v>4.24</v>
      </c>
      <c r="L4182">
        <v>0.0</v>
      </c>
      <c r="M4182"/>
      <c r="N4182"/>
      <c r="O4182">
        <v>0.76</v>
      </c>
      <c r="P4182">
        <v>0.0</v>
      </c>
      <c r="Q4182">
        <v>5.0</v>
      </c>
      <c r="R4182"/>
      <c r="S4182"/>
      <c r="T4182"/>
      <c r="U4182"/>
      <c r="V4182"/>
      <c r="W4182">
        <v>18</v>
      </c>
    </row>
    <row r="4183" spans="1:23">
      <c r="A4183"/>
      <c r="B4183" t="s">
        <v>95</v>
      </c>
      <c r="C4183" t="s">
        <v>95</v>
      </c>
      <c r="D4183" t="s">
        <v>33</v>
      </c>
      <c r="E4183" t="s">
        <v>34</v>
      </c>
      <c r="F4183" t="str">
        <f>"0004464"</f>
        <v>0004464</v>
      </c>
      <c r="G4183">
        <v>1</v>
      </c>
      <c r="H4183" t="str">
        <f>"00000000"</f>
        <v>00000000</v>
      </c>
      <c r="I4183" t="s">
        <v>35</v>
      </c>
      <c r="J4183"/>
      <c r="K4183">
        <v>9.85</v>
      </c>
      <c r="L4183">
        <v>0.0</v>
      </c>
      <c r="M4183"/>
      <c r="N4183"/>
      <c r="O4183">
        <v>1.77</v>
      </c>
      <c r="P4183">
        <v>0.2</v>
      </c>
      <c r="Q4183">
        <v>11.82</v>
      </c>
      <c r="R4183"/>
      <c r="S4183"/>
      <c r="T4183"/>
      <c r="U4183"/>
      <c r="V4183"/>
      <c r="W4183">
        <v>18</v>
      </c>
    </row>
    <row r="4184" spans="1:23">
      <c r="A4184"/>
      <c r="B4184" t="s">
        <v>95</v>
      </c>
      <c r="C4184" t="s">
        <v>95</v>
      </c>
      <c r="D4184" t="s">
        <v>33</v>
      </c>
      <c r="E4184" t="s">
        <v>34</v>
      </c>
      <c r="F4184" t="str">
        <f>"0004465"</f>
        <v>0004465</v>
      </c>
      <c r="G4184">
        <v>1</v>
      </c>
      <c r="H4184" t="str">
        <f>"00000000"</f>
        <v>00000000</v>
      </c>
      <c r="I4184" t="s">
        <v>35</v>
      </c>
      <c r="J4184"/>
      <c r="K4184">
        <v>5.93</v>
      </c>
      <c r="L4184">
        <v>0.0</v>
      </c>
      <c r="M4184"/>
      <c r="N4184"/>
      <c r="O4184">
        <v>1.07</v>
      </c>
      <c r="P4184">
        <v>0.0</v>
      </c>
      <c r="Q4184">
        <v>7.0</v>
      </c>
      <c r="R4184"/>
      <c r="S4184"/>
      <c r="T4184"/>
      <c r="U4184"/>
      <c r="V4184"/>
      <c r="W4184">
        <v>18</v>
      </c>
    </row>
    <row r="4185" spans="1:23">
      <c r="A4185"/>
      <c r="B4185" t="s">
        <v>95</v>
      </c>
      <c r="C4185" t="s">
        <v>95</v>
      </c>
      <c r="D4185" t="s">
        <v>33</v>
      </c>
      <c r="E4185" t="s">
        <v>34</v>
      </c>
      <c r="F4185" t="str">
        <f>"0004466"</f>
        <v>0004466</v>
      </c>
      <c r="G4185">
        <v>1</v>
      </c>
      <c r="H4185" t="str">
        <f>"00000000"</f>
        <v>00000000</v>
      </c>
      <c r="I4185" t="s">
        <v>35</v>
      </c>
      <c r="J4185"/>
      <c r="K4185">
        <v>1.42</v>
      </c>
      <c r="L4185">
        <v>5.18</v>
      </c>
      <c r="M4185"/>
      <c r="N4185"/>
      <c r="O4185">
        <v>0.25</v>
      </c>
      <c r="P4185">
        <v>0.0</v>
      </c>
      <c r="Q4185">
        <v>6.86</v>
      </c>
      <c r="R4185"/>
      <c r="S4185"/>
      <c r="T4185"/>
      <c r="U4185"/>
      <c r="V4185"/>
      <c r="W4185">
        <v>18</v>
      </c>
    </row>
    <row r="4186" spans="1:23">
      <c r="A4186"/>
      <c r="B4186" t="s">
        <v>95</v>
      </c>
      <c r="C4186" t="s">
        <v>95</v>
      </c>
      <c r="D4186" t="s">
        <v>33</v>
      </c>
      <c r="E4186" t="s">
        <v>34</v>
      </c>
      <c r="F4186" t="str">
        <f>"0004467"</f>
        <v>0004467</v>
      </c>
      <c r="G4186">
        <v>1</v>
      </c>
      <c r="H4186" t="str">
        <f>"00000000"</f>
        <v>00000000</v>
      </c>
      <c r="I4186" t="s">
        <v>35</v>
      </c>
      <c r="J4186"/>
      <c r="K4186">
        <v>21.03</v>
      </c>
      <c r="L4186">
        <v>9.62</v>
      </c>
      <c r="M4186"/>
      <c r="N4186"/>
      <c r="O4186">
        <v>3.79</v>
      </c>
      <c r="P4186">
        <v>0.2</v>
      </c>
      <c r="Q4186">
        <v>34.63</v>
      </c>
      <c r="R4186"/>
      <c r="S4186"/>
      <c r="T4186"/>
      <c r="U4186"/>
      <c r="V4186"/>
      <c r="W4186">
        <v>18</v>
      </c>
    </row>
    <row r="4187" spans="1:23">
      <c r="A4187"/>
      <c r="B4187" t="s">
        <v>95</v>
      </c>
      <c r="C4187" t="s">
        <v>95</v>
      </c>
      <c r="D4187" t="s">
        <v>33</v>
      </c>
      <c r="E4187" t="s">
        <v>34</v>
      </c>
      <c r="F4187" t="str">
        <f>"0004468"</f>
        <v>0004468</v>
      </c>
      <c r="G4187">
        <v>1</v>
      </c>
      <c r="H4187" t="str">
        <f>"00000000"</f>
        <v>00000000</v>
      </c>
      <c r="I4187" t="s">
        <v>35</v>
      </c>
      <c r="J4187"/>
      <c r="K4187">
        <v>4.15</v>
      </c>
      <c r="L4187">
        <v>0.0</v>
      </c>
      <c r="M4187"/>
      <c r="N4187"/>
      <c r="O4187">
        <v>0.75</v>
      </c>
      <c r="P4187">
        <v>0.0</v>
      </c>
      <c r="Q4187">
        <v>4.9</v>
      </c>
      <c r="R4187"/>
      <c r="S4187"/>
      <c r="T4187"/>
      <c r="U4187"/>
      <c r="V4187"/>
      <c r="W4187">
        <v>18</v>
      </c>
    </row>
    <row r="4188" spans="1:23">
      <c r="A4188"/>
      <c r="B4188" t="s">
        <v>95</v>
      </c>
      <c r="C4188" t="s">
        <v>95</v>
      </c>
      <c r="D4188" t="s">
        <v>33</v>
      </c>
      <c r="E4188" t="s">
        <v>34</v>
      </c>
      <c r="F4188" t="str">
        <f>"0004469"</f>
        <v>0004469</v>
      </c>
      <c r="G4188">
        <v>1</v>
      </c>
      <c r="H4188" t="str">
        <f>"00000000"</f>
        <v>00000000</v>
      </c>
      <c r="I4188" t="s">
        <v>35</v>
      </c>
      <c r="J4188"/>
      <c r="K4188">
        <v>47.51</v>
      </c>
      <c r="L4188">
        <v>5.34</v>
      </c>
      <c r="M4188"/>
      <c r="N4188"/>
      <c r="O4188">
        <v>8.55</v>
      </c>
      <c r="P4188">
        <v>0.4</v>
      </c>
      <c r="Q4188">
        <v>61.8</v>
      </c>
      <c r="R4188"/>
      <c r="S4188"/>
      <c r="T4188"/>
      <c r="U4188"/>
      <c r="V4188"/>
      <c r="W4188">
        <v>18</v>
      </c>
    </row>
    <row r="4189" spans="1:23">
      <c r="A4189"/>
      <c r="B4189" t="s">
        <v>95</v>
      </c>
      <c r="C4189" t="s">
        <v>95</v>
      </c>
      <c r="D4189" t="s">
        <v>33</v>
      </c>
      <c r="E4189" t="s">
        <v>34</v>
      </c>
      <c r="F4189" t="str">
        <f>"0004470"</f>
        <v>0004470</v>
      </c>
      <c r="G4189">
        <v>1</v>
      </c>
      <c r="H4189" t="str">
        <f>"00000000"</f>
        <v>00000000</v>
      </c>
      <c r="I4189" t="s">
        <v>35</v>
      </c>
      <c r="J4189"/>
      <c r="K4189">
        <v>3.11</v>
      </c>
      <c r="L4189">
        <v>3.09</v>
      </c>
      <c r="M4189"/>
      <c r="N4189"/>
      <c r="O4189">
        <v>0.56</v>
      </c>
      <c r="P4189">
        <v>0.0</v>
      </c>
      <c r="Q4189">
        <v>6.77</v>
      </c>
      <c r="R4189"/>
      <c r="S4189"/>
      <c r="T4189"/>
      <c r="U4189"/>
      <c r="V4189"/>
      <c r="W4189">
        <v>18</v>
      </c>
    </row>
    <row r="4190" spans="1:23">
      <c r="A4190"/>
      <c r="B4190" t="s">
        <v>95</v>
      </c>
      <c r="C4190" t="s">
        <v>95</v>
      </c>
      <c r="D4190" t="s">
        <v>33</v>
      </c>
      <c r="E4190" t="s">
        <v>34</v>
      </c>
      <c r="F4190" t="str">
        <f>"0004471"</f>
        <v>0004471</v>
      </c>
      <c r="G4190">
        <v>1</v>
      </c>
      <c r="H4190" t="str">
        <f>"00000000"</f>
        <v>00000000</v>
      </c>
      <c r="I4190" t="s">
        <v>35</v>
      </c>
      <c r="J4190"/>
      <c r="K4190">
        <v>0.0</v>
      </c>
      <c r="L4190">
        <v>2.1</v>
      </c>
      <c r="M4190"/>
      <c r="N4190"/>
      <c r="O4190">
        <v>0.0</v>
      </c>
      <c r="P4190">
        <v>0.0</v>
      </c>
      <c r="Q4190">
        <v>2.1</v>
      </c>
      <c r="R4190"/>
      <c r="S4190"/>
      <c r="T4190"/>
      <c r="U4190"/>
      <c r="V4190"/>
      <c r="W4190">
        <v>18</v>
      </c>
    </row>
    <row r="4191" spans="1:23">
      <c r="A4191"/>
      <c r="B4191" t="s">
        <v>45</v>
      </c>
      <c r="C4191" t="s">
        <v>45</v>
      </c>
      <c r="D4191" t="s">
        <v>101</v>
      </c>
      <c r="E4191" t="s">
        <v>34</v>
      </c>
      <c r="F4191" t="str">
        <f>"0000002"</f>
        <v>0000002</v>
      </c>
      <c r="G4191">
        <v>1</v>
      </c>
      <c r="H4191" t="str">
        <f>"00000000"</f>
        <v>00000000</v>
      </c>
      <c r="I4191" t="s">
        <v>35</v>
      </c>
      <c r="J4191"/>
      <c r="K4191">
        <v>-6.36</v>
      </c>
      <c r="L4191">
        <v>0.0</v>
      </c>
      <c r="M4191"/>
      <c r="N4191"/>
      <c r="O4191">
        <v>-1.14</v>
      </c>
      <c r="P4191">
        <v>-0.2</v>
      </c>
      <c r="Q4191">
        <v>-7.7</v>
      </c>
      <c r="R4191"/>
      <c r="S4191" t="s">
        <v>45</v>
      </c>
      <c r="T4191" t="s">
        <v>33</v>
      </c>
      <c r="U4191" t="s">
        <v>34</v>
      </c>
      <c r="V4191" t="s">
        <v>102</v>
      </c>
      <c r="W4191">
        <v>18</v>
      </c>
    </row>
    <row r="4192" spans="1:23">
      <c r="A4192"/>
      <c r="B4192" t="s">
        <v>48</v>
      </c>
      <c r="C4192" t="s">
        <v>48</v>
      </c>
      <c r="D4192" t="s">
        <v>101</v>
      </c>
      <c r="E4192" t="s">
        <v>34</v>
      </c>
      <c r="F4192" t="str">
        <f>"0000003"</f>
        <v>0000003</v>
      </c>
      <c r="G4192">
        <v>1</v>
      </c>
      <c r="H4192" t="str">
        <f>"00000000"</f>
        <v>00000000</v>
      </c>
      <c r="I4192" t="s">
        <v>35</v>
      </c>
      <c r="J4192"/>
      <c r="K4192">
        <v>-37.12</v>
      </c>
      <c r="L4192">
        <v>0.0</v>
      </c>
      <c r="M4192"/>
      <c r="N4192"/>
      <c r="O4192">
        <v>-6.68</v>
      </c>
      <c r="P4192">
        <v>-0.2</v>
      </c>
      <c r="Q4192">
        <v>-44.0</v>
      </c>
      <c r="R4192"/>
      <c r="S4192" t="s">
        <v>46</v>
      </c>
      <c r="T4192" t="s">
        <v>33</v>
      </c>
      <c r="U4192" t="s">
        <v>34</v>
      </c>
      <c r="V4192" t="s">
        <v>103</v>
      </c>
      <c r="W4192">
        <v>18</v>
      </c>
    </row>
    <row r="4193" spans="1:23">
      <c r="A4193"/>
      <c r="B4193" t="s">
        <v>48</v>
      </c>
      <c r="C4193" t="s">
        <v>48</v>
      </c>
      <c r="D4193" t="s">
        <v>101</v>
      </c>
      <c r="E4193" t="s">
        <v>34</v>
      </c>
      <c r="F4193" t="str">
        <f>"0000004"</f>
        <v>0000004</v>
      </c>
      <c r="G4193">
        <v>1</v>
      </c>
      <c r="H4193" t="str">
        <f>"00000000"</f>
        <v>00000000</v>
      </c>
      <c r="I4193" t="s">
        <v>35</v>
      </c>
      <c r="J4193"/>
      <c r="K4193">
        <v>-52.69</v>
      </c>
      <c r="L4193">
        <v>0.0</v>
      </c>
      <c r="M4193"/>
      <c r="N4193"/>
      <c r="O4193">
        <v>-9.48</v>
      </c>
      <c r="P4193">
        <v>-0.4</v>
      </c>
      <c r="Q4193">
        <v>-62.57</v>
      </c>
      <c r="R4193"/>
      <c r="S4193" t="s">
        <v>48</v>
      </c>
      <c r="T4193" t="s">
        <v>33</v>
      </c>
      <c r="U4193" t="s">
        <v>34</v>
      </c>
      <c r="V4193" t="s">
        <v>104</v>
      </c>
      <c r="W4193">
        <v>18</v>
      </c>
    </row>
    <row r="4194" spans="1:23">
      <c r="A4194"/>
      <c r="B4194" t="s">
        <v>56</v>
      </c>
      <c r="C4194" t="s">
        <v>56</v>
      </c>
      <c r="D4194" t="s">
        <v>101</v>
      </c>
      <c r="E4194" t="s">
        <v>34</v>
      </c>
      <c r="F4194" t="str">
        <f>"0000005"</f>
        <v>0000005</v>
      </c>
      <c r="G4194">
        <v>6</v>
      </c>
      <c r="H4194" t="str">
        <f>"10167986779"</f>
        <v>10167986779</v>
      </c>
      <c r="I4194" t="s">
        <v>55</v>
      </c>
      <c r="J4194"/>
      <c r="K4194">
        <v>-171.95</v>
      </c>
      <c r="L4194">
        <v>0.0</v>
      </c>
      <c r="M4194"/>
      <c r="N4194"/>
      <c r="O4194">
        <v>-30.95</v>
      </c>
      <c r="P4194">
        <v>-1.0</v>
      </c>
      <c r="Q4194">
        <v>-203.9</v>
      </c>
      <c r="R4194"/>
      <c r="S4194" t="s">
        <v>52</v>
      </c>
      <c r="T4194" t="s">
        <v>33</v>
      </c>
      <c r="U4194" t="s">
        <v>34</v>
      </c>
      <c r="V4194" t="s">
        <v>105</v>
      </c>
      <c r="W4194">
        <v>18</v>
      </c>
    </row>
    <row r="4195" spans="1:23">
      <c r="A4195"/>
      <c r="B4195" t="s">
        <v>64</v>
      </c>
      <c r="C4195" t="s">
        <v>64</v>
      </c>
      <c r="D4195" t="s">
        <v>101</v>
      </c>
      <c r="E4195" t="s">
        <v>34</v>
      </c>
      <c r="F4195" t="str">
        <f>"0000006"</f>
        <v>0000006</v>
      </c>
      <c r="G4195">
        <v>1</v>
      </c>
      <c r="H4195" t="str">
        <f>"00000000"</f>
        <v>00000000</v>
      </c>
      <c r="I4195" t="s">
        <v>35</v>
      </c>
      <c r="J4195"/>
      <c r="K4195">
        <v>-18.76</v>
      </c>
      <c r="L4195">
        <v>0.0</v>
      </c>
      <c r="M4195"/>
      <c r="N4195"/>
      <c r="O4195">
        <v>-3.38</v>
      </c>
      <c r="P4195">
        <v>0.0</v>
      </c>
      <c r="Q4195">
        <v>-22.14</v>
      </c>
      <c r="R4195"/>
      <c r="S4195" t="s">
        <v>64</v>
      </c>
      <c r="T4195" t="s">
        <v>33</v>
      </c>
      <c r="U4195" t="s">
        <v>34</v>
      </c>
      <c r="V4195" t="s">
        <v>106</v>
      </c>
      <c r="W4195">
        <v>18</v>
      </c>
    </row>
    <row r="4196" spans="1:23">
      <c r="A4196"/>
      <c r="B4196" t="s">
        <v>65</v>
      </c>
      <c r="C4196" t="s">
        <v>65</v>
      </c>
      <c r="D4196" t="s">
        <v>101</v>
      </c>
      <c r="E4196" t="s">
        <v>34</v>
      </c>
      <c r="F4196" t="str">
        <f>"0000007"</f>
        <v>0000007</v>
      </c>
      <c r="G4196">
        <v>6</v>
      </c>
      <c r="H4196" t="str">
        <f>"20602406335"</f>
        <v>20602406335</v>
      </c>
      <c r="I4196" t="s">
        <v>66</v>
      </c>
      <c r="J4196"/>
      <c r="K4196">
        <v>-50.6</v>
      </c>
      <c r="L4196">
        <v>0.0</v>
      </c>
      <c r="M4196"/>
      <c r="N4196"/>
      <c r="O4196">
        <v>-9.11</v>
      </c>
      <c r="P4196">
        <v>-0.6</v>
      </c>
      <c r="Q4196">
        <v>-60.31</v>
      </c>
      <c r="R4196"/>
      <c r="S4196" t="s">
        <v>65</v>
      </c>
      <c r="T4196" t="s">
        <v>33</v>
      </c>
      <c r="U4196" t="s">
        <v>34</v>
      </c>
      <c r="V4196" t="s">
        <v>107</v>
      </c>
      <c r="W4196">
        <v>18</v>
      </c>
    </row>
    <row r="4197" spans="1:23">
      <c r="A4197"/>
      <c r="B4197" t="s">
        <v>65</v>
      </c>
      <c r="C4197" t="s">
        <v>65</v>
      </c>
      <c r="D4197" t="s">
        <v>101</v>
      </c>
      <c r="E4197" t="s">
        <v>34</v>
      </c>
      <c r="F4197" t="str">
        <f>"0000008"</f>
        <v>0000008</v>
      </c>
      <c r="G4197">
        <v>1</v>
      </c>
      <c r="H4197" t="str">
        <f>"00000000"</f>
        <v>00000000</v>
      </c>
      <c r="I4197" t="s">
        <v>35</v>
      </c>
      <c r="J4197"/>
      <c r="K4197">
        <v>-5.0</v>
      </c>
      <c r="L4197">
        <v>0.0</v>
      </c>
      <c r="M4197"/>
      <c r="N4197"/>
      <c r="O4197">
        <v>-0.9</v>
      </c>
      <c r="P4197">
        <v>0.0</v>
      </c>
      <c r="Q4197">
        <v>-5.9</v>
      </c>
      <c r="R4197"/>
      <c r="S4197" t="s">
        <v>65</v>
      </c>
      <c r="T4197" t="s">
        <v>33</v>
      </c>
      <c r="U4197" t="s">
        <v>34</v>
      </c>
      <c r="V4197" t="s">
        <v>108</v>
      </c>
      <c r="W4197">
        <v>18</v>
      </c>
    </row>
    <row r="4198" spans="1:23">
      <c r="A4198"/>
      <c r="B4198" t="s">
        <v>72</v>
      </c>
      <c r="C4198" t="s">
        <v>72</v>
      </c>
      <c r="D4198" t="s">
        <v>101</v>
      </c>
      <c r="E4198" t="s">
        <v>34</v>
      </c>
      <c r="F4198" t="str">
        <f>"0000009"</f>
        <v>0000009</v>
      </c>
      <c r="G4198">
        <v>1</v>
      </c>
      <c r="H4198" t="str">
        <f>"00000000"</f>
        <v>00000000</v>
      </c>
      <c r="I4198" t="s">
        <v>35</v>
      </c>
      <c r="J4198"/>
      <c r="K4198">
        <v>-19.07</v>
      </c>
      <c r="L4198">
        <v>0.0</v>
      </c>
      <c r="M4198"/>
      <c r="N4198"/>
      <c r="O4198">
        <v>-3.43</v>
      </c>
      <c r="P4198">
        <v>0.0</v>
      </c>
      <c r="Q4198">
        <v>-22.5</v>
      </c>
      <c r="R4198"/>
      <c r="S4198" t="s">
        <v>72</v>
      </c>
      <c r="T4198" t="s">
        <v>33</v>
      </c>
      <c r="U4198" t="s">
        <v>34</v>
      </c>
      <c r="V4198" t="s">
        <v>109</v>
      </c>
      <c r="W419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2020-10-24T03:49:53+02:00</dcterms:created>
  <dcterms:modified xsi:type="dcterms:W3CDTF">2020-10-24T03:49:53+02:00</dcterms:modified>
  <dc:title>Untitled Spreadsheet</dc:title>
  <dc:description/>
  <dc:subject/>
  <cp:keywords/>
  <cp:category/>
</cp:coreProperties>
</file>