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<sst xmlns="http://schemas.openxmlformats.org/spreadsheetml/2006/main" uniqueCount="150">
  <si>
    <t>REPORTE DE VENTAS</t>
  </si>
  <si>
    <t>FECHA DE REPORTE:</t>
  </si>
  <si>
    <t>31/01/2022</t>
  </si>
  <si>
    <t>CRITERIO DE FILTRO:</t>
  </si>
  <si>
    <t>RANGO DE FECHAS:</t>
  </si>
  <si>
    <t>Desde 01/02/2021 hasta 31/01/2022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</si>
  <si>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</si>
  <si>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</si>
  <si>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</si>
  <si>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</si>
  <si>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</si>
  <si>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</si>
  <si>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</si>
  <si>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</si>
  <si>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</si>
  <si>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</si>
  <si>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</si>
  <si>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</si>
  <si>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</si>
  <si>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</si>
  <si>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</si>
  <si>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</si>
  <si>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</si>
  <si>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</si>
  <si>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</si>
  <si>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</si>
  <si>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</si>
  <si>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</si>
  <si>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</si>
  <si>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</si>
  <si>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</si>
  <si>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</si>
  <si>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10/02/2021</t>
  </si>
  <si>
    <t>01</t>
  </si>
  <si>
    <t>F001</t>
  </si>
  <si>
    <t>EMPRESA AGRICOLA SAN JUAN SA</t>
  </si>
  <si>
    <t>IMPORTACIONES SANTA ROSA EIRL</t>
  </si>
  <si>
    <t>03</t>
  </si>
  <si>
    <t>B001</t>
  </si>
  <si>
    <t>VARIOS</t>
  </si>
  <si>
    <t>20/02/2021</t>
  </si>
  <si>
    <t>22/02/2021</t>
  </si>
  <si>
    <t>23/02/2021</t>
  </si>
  <si>
    <t>PEDRO PEREZ AURAZO</t>
  </si>
  <si>
    <t>24/02/2021</t>
  </si>
  <si>
    <t>25/02/2021</t>
  </si>
  <si>
    <t>26/02/2021</t>
  </si>
  <si>
    <t>EL AGUILA S.R.L</t>
  </si>
  <si>
    <t>MARY CLAUDIA MONTALVAN CHAPOÃAN</t>
  </si>
  <si>
    <t>PRODUCTOS DE LIMPIEZA EL PARAISO E.I.R.L.</t>
  </si>
  <si>
    <t>27/02/2021</t>
  </si>
  <si>
    <t>REPUESTOS NEW LID S.R.L.</t>
  </si>
  <si>
    <t>15/03/2021</t>
  </si>
  <si>
    <t>JOSE GARCIA TOCTO</t>
  </si>
  <si>
    <t>18/03/2021</t>
  </si>
  <si>
    <t>25/03/2021</t>
  </si>
  <si>
    <t>29/03/2021</t>
  </si>
  <si>
    <t>31/03/2021</t>
  </si>
  <si>
    <t>23/04/2021</t>
  </si>
  <si>
    <t>26/04/2021</t>
  </si>
  <si>
    <t>27/04/2021</t>
  </si>
  <si>
    <t>29/04/2021</t>
  </si>
  <si>
    <t>30/04/2021</t>
  </si>
  <si>
    <t>04/05/2021</t>
  </si>
  <si>
    <t>11/05/2021</t>
  </si>
  <si>
    <t>NEGOCIACIONES LIAN YAEL EIRL</t>
  </si>
  <si>
    <t>21/05/2021</t>
  </si>
  <si>
    <t>22/05/2021</t>
  </si>
  <si>
    <t>24/05/2021</t>
  </si>
  <si>
    <t>26/05/2021</t>
  </si>
  <si>
    <t>ALINDOR QUISPE MORALES</t>
  </si>
  <si>
    <t>27/05/2021</t>
  </si>
  <si>
    <t>DISTRIBUIDORES NACIONALES DE MOTOREPUESTOS E.I.R.L.</t>
  </si>
  <si>
    <t>PALACIOS GUEVARA DELSY YOJANY</t>
  </si>
  <si>
    <t>29/05/2021</t>
  </si>
  <si>
    <t>14/06/2021</t>
  </si>
  <si>
    <t>18/06/2021</t>
  </si>
  <si>
    <t>21/06/2021</t>
  </si>
  <si>
    <t>24/06/2021</t>
  </si>
  <si>
    <t>25/06/2021</t>
  </si>
  <si>
    <t>28/06/2021</t>
  </si>
  <si>
    <t>29/06/2021</t>
  </si>
  <si>
    <t>30/06/2021</t>
  </si>
  <si>
    <t>29/07/2021</t>
  </si>
  <si>
    <t>30/07/2021</t>
  </si>
  <si>
    <t>31/07/2021</t>
  </si>
  <si>
    <t>SERVIFOM S.A.C</t>
  </si>
  <si>
    <t>24/08/2021</t>
  </si>
  <si>
    <t>26/08/2021</t>
  </si>
  <si>
    <t>31/08/2021</t>
  </si>
  <si>
    <t>22/09/2021</t>
  </si>
  <si>
    <t>23/09/2021</t>
  </si>
  <si>
    <t>FORMAVENA CONSTRUCTORES Y SERVICIOS GENERALES S.A.C.</t>
  </si>
  <si>
    <t>30/09/2021</t>
  </si>
  <si>
    <t>25/10/2021</t>
  </si>
  <si>
    <t>29/10/2021</t>
  </si>
  <si>
    <t>31/10/2021</t>
  </si>
  <si>
    <t>15/11/2021</t>
  </si>
  <si>
    <t>ZAMBORA TOCTO CLARITA PEPITA</t>
  </si>
  <si>
    <t>16/11/2021</t>
  </si>
  <si>
    <t>CRIS TRONCO SUCLUPE</t>
  </si>
  <si>
    <t>18/11/2021</t>
  </si>
  <si>
    <t>CIA GANADERA DE LAMBAYEQUE SOCIEDAD ANONIMA CERRADA</t>
  </si>
  <si>
    <t>19/11/2021</t>
  </si>
  <si>
    <t>INGENIERIA Y CONSTRUCCION JS - ALARCON E.I.R.L.</t>
  </si>
  <si>
    <t>20/11/2021</t>
  </si>
  <si>
    <t>INVERSIONES TECOR SOCIEDAD COMERCIAL DE RESPONSABILIDAD LIMITADA</t>
  </si>
  <si>
    <t>22/11/2021</t>
  </si>
  <si>
    <t>23/11/2021</t>
  </si>
  <si>
    <t>RAFAEL LUCAS CURRO MORAN</t>
  </si>
  <si>
    <t>25/11/2021</t>
  </si>
  <si>
    <t>INVERSIONES Y TRANSPORTES FERNANDEZ SAC</t>
  </si>
  <si>
    <t>PUICON RIVERA RICARDO</t>
  </si>
  <si>
    <t>SECURGRAMA S.R.L.</t>
  </si>
  <si>
    <t>AQUILINO HUAMAN JIMENEZ</t>
  </si>
  <si>
    <t>27/11/2021</t>
  </si>
  <si>
    <t>UNIDAD EJECUTORA 120 PROGRAMA NACIONAL DE DOTACION DE MATERIALES EDUCATIVOS</t>
  </si>
  <si>
    <t>SERVICIOS GENERALES LUIS Y ARYC S.A.C.</t>
  </si>
  <si>
    <t>INOSTROSA CARDOZO GEISER</t>
  </si>
  <si>
    <t>PAQUETERIA EXPRESS SOCIEDAD ANONIMA CERRADA - PAEX S.A.C.</t>
  </si>
  <si>
    <t>BUSTAMANTE BURGA SEGUNDO ALEJANDRO</t>
  </si>
  <si>
    <t>30/11/2021</t>
  </si>
  <si>
    <t>02/12/2021</t>
  </si>
  <si>
    <t>PILADORA SOL DE ORO S.A.C.</t>
  </si>
  <si>
    <t>07/12/2021</t>
  </si>
  <si>
    <t>DISTRIBUCIONES PIMENTEL S.R.L.</t>
  </si>
  <si>
    <t>08/12/2021</t>
  </si>
  <si>
    <t>14/12/2021</t>
  </si>
  <si>
    <t>LADY LESLY  FERNANDEZ VALLEJOS</t>
  </si>
  <si>
    <t>16/12/2021</t>
  </si>
  <si>
    <t>SETAMI E.I.R.L.</t>
  </si>
  <si>
    <t>23/12/2021</t>
  </si>
  <si>
    <t>28/12/2021</t>
  </si>
  <si>
    <t>TECNISERVICIOS ASCATE E.I.R.L.</t>
  </si>
  <si>
    <t>29/12/2021</t>
  </si>
  <si>
    <t>30/12/2021</t>
  </si>
  <si>
    <t>31/12/2021</t>
  </si>
  <si>
    <t>SERVICIOS CORPORATIVOS VINUVA SAC</t>
  </si>
  <si>
    <t>19/01/2022</t>
  </si>
  <si>
    <t>21/01/2022</t>
  </si>
  <si>
    <t>22/01/2022</t>
  </si>
  <si>
    <t>24/01/2022</t>
  </si>
  <si>
    <t>25/01/2022</t>
  </si>
  <si>
    <t>27/01/2022</t>
  </si>
  <si>
    <t xml:space="preserve">PUBLICO EN GENERAL </t>
  </si>
  <si>
    <t>28/01/2022</t>
  </si>
  <si>
    <t>29/01/2022</t>
  </si>
  <si>
    <t>07</t>
  </si>
  <si>
    <t>0000323</t>
  </si>
  <si>
    <t>0000041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</si>
</sst>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92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"0000016"</f>
        <v>0000016</v>
      </c>
      <c r="G8">
        <v>6</v>
      </c>
      <c r="H8" t="str">
        <f>"20103272964"</f>
        <v>20103272964</v>
      </c>
      <c r="I8" t="s">
        <v>35</v>
      </c>
      <c r="J8"/>
      <c r="K8">
        <v>135.59</v>
      </c>
      <c r="L8">
        <v>0.0</v>
      </c>
      <c r="M8"/>
      <c r="N8"/>
      <c r="O8">
        <v>24.41</v>
      </c>
      <c r="P8">
        <v>0.0</v>
      </c>
      <c r="Q8">
        <v>160.0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"0000017"</f>
        <v>0000017</v>
      </c>
      <c r="G9">
        <v>6</v>
      </c>
      <c r="H9" t="str">
        <f>"20479640590"</f>
        <v>20479640590</v>
      </c>
      <c r="I9" t="s">
        <v>36</v>
      </c>
      <c r="J9"/>
      <c r="K9">
        <v>135.59</v>
      </c>
      <c r="L9">
        <v>0.0</v>
      </c>
      <c r="M9"/>
      <c r="N9"/>
      <c r="O9">
        <v>24.41</v>
      </c>
      <c r="P9">
        <v>0.0</v>
      </c>
      <c r="Q9">
        <v>160.0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37</v>
      </c>
      <c r="E10" t="s">
        <v>38</v>
      </c>
      <c r="F10" t="str">
        <f>"0000125"</f>
        <v>0000125</v>
      </c>
      <c r="G10">
        <v>1</v>
      </c>
      <c r="H10" t="str">
        <f>"00000000"</f>
        <v>00000000</v>
      </c>
      <c r="I10" t="s">
        <v>39</v>
      </c>
      <c r="J10"/>
      <c r="K10">
        <v>254.24</v>
      </c>
      <c r="L10">
        <v>0.0</v>
      </c>
      <c r="M10"/>
      <c r="N10"/>
      <c r="O10">
        <v>45.76</v>
      </c>
      <c r="P10">
        <v>0.0</v>
      </c>
      <c r="Q10">
        <v>300.0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37</v>
      </c>
      <c r="E11" t="s">
        <v>38</v>
      </c>
      <c r="F11" t="str">
        <f>"0000126"</f>
        <v>0000126</v>
      </c>
      <c r="G11">
        <v>1</v>
      </c>
      <c r="H11" t="str">
        <f>"00000000"</f>
        <v>00000000</v>
      </c>
      <c r="I11" t="s">
        <v>39</v>
      </c>
      <c r="J11"/>
      <c r="K11">
        <v>406.78</v>
      </c>
      <c r="L11">
        <v>0.0</v>
      </c>
      <c r="M11"/>
      <c r="N11"/>
      <c r="O11">
        <v>73.22</v>
      </c>
      <c r="P11">
        <v>0.0</v>
      </c>
      <c r="Q11">
        <v>480.0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37</v>
      </c>
      <c r="E12" t="s">
        <v>38</v>
      </c>
      <c r="F12" t="str">
        <f>"0000127"</f>
        <v>0000127</v>
      </c>
      <c r="G12">
        <v>1</v>
      </c>
      <c r="H12" t="str">
        <f>"00000000"</f>
        <v>00000000</v>
      </c>
      <c r="I12" t="s">
        <v>39</v>
      </c>
      <c r="J12"/>
      <c r="K12">
        <v>296.61</v>
      </c>
      <c r="L12">
        <v>0.0</v>
      </c>
      <c r="M12"/>
      <c r="N12"/>
      <c r="O12">
        <v>53.39</v>
      </c>
      <c r="P12">
        <v>0.0</v>
      </c>
      <c r="Q12">
        <v>350.0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37</v>
      </c>
      <c r="E13" t="s">
        <v>38</v>
      </c>
      <c r="F13" t="str">
        <f>"0000128"</f>
        <v>0000128</v>
      </c>
      <c r="G13">
        <v>1</v>
      </c>
      <c r="H13" t="str">
        <f>"00000000"</f>
        <v>00000000</v>
      </c>
      <c r="I13" t="s">
        <v>39</v>
      </c>
      <c r="J13"/>
      <c r="K13">
        <v>165.25</v>
      </c>
      <c r="L13">
        <v>0.0</v>
      </c>
      <c r="M13"/>
      <c r="N13"/>
      <c r="O13">
        <v>29.75</v>
      </c>
      <c r="P13">
        <v>0.0</v>
      </c>
      <c r="Q13">
        <v>195.0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37</v>
      </c>
      <c r="E14" t="s">
        <v>38</v>
      </c>
      <c r="F14" t="str">
        <f>"0000129"</f>
        <v>0000129</v>
      </c>
      <c r="G14">
        <v>1</v>
      </c>
      <c r="H14" t="str">
        <f>"00000000"</f>
        <v>00000000</v>
      </c>
      <c r="I14" t="s">
        <v>39</v>
      </c>
      <c r="J14"/>
      <c r="K14">
        <v>322.03</v>
      </c>
      <c r="L14">
        <v>0.0</v>
      </c>
      <c r="M14"/>
      <c r="N14"/>
      <c r="O14">
        <v>57.97</v>
      </c>
      <c r="P14">
        <v>0.0</v>
      </c>
      <c r="Q14">
        <v>380.0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37</v>
      </c>
      <c r="E15" t="s">
        <v>38</v>
      </c>
      <c r="F15" t="str">
        <f>"0000130"</f>
        <v>0000130</v>
      </c>
      <c r="G15">
        <v>1</v>
      </c>
      <c r="H15" t="str">
        <f>"00000000"</f>
        <v>00000000</v>
      </c>
      <c r="I15" t="s">
        <v>39</v>
      </c>
      <c r="J15"/>
      <c r="K15">
        <v>186.44</v>
      </c>
      <c r="L15">
        <v>0.0</v>
      </c>
      <c r="M15"/>
      <c r="N15"/>
      <c r="O15">
        <v>33.56</v>
      </c>
      <c r="P15">
        <v>0.0</v>
      </c>
      <c r="Q15">
        <v>220.0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37</v>
      </c>
      <c r="E16" t="s">
        <v>38</v>
      </c>
      <c r="F16" t="str">
        <f>"0000131"</f>
        <v>0000131</v>
      </c>
      <c r="G16">
        <v>1</v>
      </c>
      <c r="H16" t="str">
        <f>"00000000"</f>
        <v>00000000</v>
      </c>
      <c r="I16" t="s">
        <v>39</v>
      </c>
      <c r="J16"/>
      <c r="K16">
        <v>220.34</v>
      </c>
      <c r="L16">
        <v>0.0</v>
      </c>
      <c r="M16"/>
      <c r="N16"/>
      <c r="O16">
        <v>39.66</v>
      </c>
      <c r="P16">
        <v>0.0</v>
      </c>
      <c r="Q16">
        <v>260.0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37</v>
      </c>
      <c r="E17" t="s">
        <v>38</v>
      </c>
      <c r="F17" t="str">
        <f>"0000132"</f>
        <v>0000132</v>
      </c>
      <c r="G17">
        <v>1</v>
      </c>
      <c r="H17" t="str">
        <f>"00000000"</f>
        <v>00000000</v>
      </c>
      <c r="I17" t="s">
        <v>39</v>
      </c>
      <c r="J17"/>
      <c r="K17">
        <v>266.95</v>
      </c>
      <c r="L17">
        <v>0.0</v>
      </c>
      <c r="M17"/>
      <c r="N17"/>
      <c r="O17">
        <v>48.05</v>
      </c>
      <c r="P17">
        <v>0.0</v>
      </c>
      <c r="Q17">
        <v>315.0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37</v>
      </c>
      <c r="E18" t="s">
        <v>38</v>
      </c>
      <c r="F18" t="str">
        <f>"0000133"</f>
        <v>0000133</v>
      </c>
      <c r="G18">
        <v>1</v>
      </c>
      <c r="H18" t="str">
        <f>"00000000"</f>
        <v>00000000</v>
      </c>
      <c r="I18" t="s">
        <v>39</v>
      </c>
      <c r="J18"/>
      <c r="K18">
        <v>186.44</v>
      </c>
      <c r="L18">
        <v>0.0</v>
      </c>
      <c r="M18"/>
      <c r="N18"/>
      <c r="O18">
        <v>33.56</v>
      </c>
      <c r="P18">
        <v>0.0</v>
      </c>
      <c r="Q18">
        <v>220.0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37</v>
      </c>
      <c r="E19" t="s">
        <v>38</v>
      </c>
      <c r="F19" t="str">
        <f>"0000134"</f>
        <v>0000134</v>
      </c>
      <c r="G19">
        <v>1</v>
      </c>
      <c r="H19" t="str">
        <f>"00000000"</f>
        <v>00000000</v>
      </c>
      <c r="I19" t="s">
        <v>39</v>
      </c>
      <c r="J19"/>
      <c r="K19">
        <v>186.44</v>
      </c>
      <c r="L19">
        <v>0.0</v>
      </c>
      <c r="M19"/>
      <c r="N19"/>
      <c r="O19">
        <v>33.56</v>
      </c>
      <c r="P19">
        <v>0.0</v>
      </c>
      <c r="Q19">
        <v>220.0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37</v>
      </c>
      <c r="E20" t="s">
        <v>38</v>
      </c>
      <c r="F20" t="str">
        <f>"0000135"</f>
        <v>0000135</v>
      </c>
      <c r="G20">
        <v>1</v>
      </c>
      <c r="H20" t="str">
        <f>"00000000"</f>
        <v>00000000</v>
      </c>
      <c r="I20" t="s">
        <v>39</v>
      </c>
      <c r="J20"/>
      <c r="K20">
        <v>338.98</v>
      </c>
      <c r="L20">
        <v>0.0</v>
      </c>
      <c r="M20"/>
      <c r="N20"/>
      <c r="O20">
        <v>61.02</v>
      </c>
      <c r="P20">
        <v>0.0</v>
      </c>
      <c r="Q20">
        <v>400.0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37</v>
      </c>
      <c r="E21" t="s">
        <v>38</v>
      </c>
      <c r="F21" t="str">
        <f>"0000136"</f>
        <v>0000136</v>
      </c>
      <c r="G21">
        <v>1</v>
      </c>
      <c r="H21" t="str">
        <f>"00000000"</f>
        <v>00000000</v>
      </c>
      <c r="I21" t="s">
        <v>39</v>
      </c>
      <c r="J21"/>
      <c r="K21">
        <v>292.37</v>
      </c>
      <c r="L21">
        <v>0.0</v>
      </c>
      <c r="M21"/>
      <c r="N21"/>
      <c r="O21">
        <v>52.63</v>
      </c>
      <c r="P21">
        <v>0.0</v>
      </c>
      <c r="Q21">
        <v>345.0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37</v>
      </c>
      <c r="E22" t="s">
        <v>38</v>
      </c>
      <c r="F22" t="str">
        <f>"0000137"</f>
        <v>0000137</v>
      </c>
      <c r="G22">
        <v>1</v>
      </c>
      <c r="H22" t="str">
        <f>"00000000"</f>
        <v>00000000</v>
      </c>
      <c r="I22" t="s">
        <v>39</v>
      </c>
      <c r="J22"/>
      <c r="K22">
        <v>199.15</v>
      </c>
      <c r="L22">
        <v>0.0</v>
      </c>
      <c r="M22"/>
      <c r="N22"/>
      <c r="O22">
        <v>35.85</v>
      </c>
      <c r="P22">
        <v>0.0</v>
      </c>
      <c r="Q22">
        <v>235.0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37</v>
      </c>
      <c r="E23" t="s">
        <v>38</v>
      </c>
      <c r="F23" t="str">
        <f>"0000138"</f>
        <v>0000138</v>
      </c>
      <c r="G23">
        <v>1</v>
      </c>
      <c r="H23" t="str">
        <f>"00000000"</f>
        <v>00000000</v>
      </c>
      <c r="I23" t="s">
        <v>39</v>
      </c>
      <c r="J23"/>
      <c r="K23">
        <v>296.61</v>
      </c>
      <c r="L23">
        <v>0.0</v>
      </c>
      <c r="M23"/>
      <c r="N23"/>
      <c r="O23">
        <v>53.39</v>
      </c>
      <c r="P23">
        <v>0.0</v>
      </c>
      <c r="Q23">
        <v>350.0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37</v>
      </c>
      <c r="E24" t="s">
        <v>38</v>
      </c>
      <c r="F24" t="str">
        <f>"0000139"</f>
        <v>0000139</v>
      </c>
      <c r="G24">
        <v>1</v>
      </c>
      <c r="H24" t="str">
        <f>"00000000"</f>
        <v>00000000</v>
      </c>
      <c r="I24" t="s">
        <v>39</v>
      </c>
      <c r="J24"/>
      <c r="K24">
        <v>254.24</v>
      </c>
      <c r="L24">
        <v>0.0</v>
      </c>
      <c r="M24"/>
      <c r="N24"/>
      <c r="O24">
        <v>45.76</v>
      </c>
      <c r="P24">
        <v>0.0</v>
      </c>
      <c r="Q24">
        <v>300.0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37</v>
      </c>
      <c r="E25" t="s">
        <v>38</v>
      </c>
      <c r="F25" t="str">
        <f>"0000140"</f>
        <v>0000140</v>
      </c>
      <c r="G25">
        <v>1</v>
      </c>
      <c r="H25" t="str">
        <f>"00000000"</f>
        <v>00000000</v>
      </c>
      <c r="I25" t="s">
        <v>39</v>
      </c>
      <c r="J25"/>
      <c r="K25">
        <v>254.24</v>
      </c>
      <c r="L25">
        <v>0.0</v>
      </c>
      <c r="M25"/>
      <c r="N25"/>
      <c r="O25">
        <v>45.76</v>
      </c>
      <c r="P25">
        <v>0.0</v>
      </c>
      <c r="Q25">
        <v>300.0</v>
      </c>
      <c r="R25"/>
      <c r="S25"/>
      <c r="T25"/>
      <c r="U25"/>
      <c r="V25"/>
      <c r="W25">
        <v>18</v>
      </c>
    </row>
    <row r="26" spans="1:23">
      <c r="A26"/>
      <c r="B26" t="s">
        <v>40</v>
      </c>
      <c r="C26" t="s">
        <v>40</v>
      </c>
      <c r="D26" t="s">
        <v>37</v>
      </c>
      <c r="E26" t="s">
        <v>38</v>
      </c>
      <c r="F26" t="str">
        <f>"0000141"</f>
        <v>0000141</v>
      </c>
      <c r="G26">
        <v>1</v>
      </c>
      <c r="H26" t="str">
        <f>"00000000"</f>
        <v>00000000</v>
      </c>
      <c r="I26" t="s">
        <v>39</v>
      </c>
      <c r="J26"/>
      <c r="K26">
        <v>279.66</v>
      </c>
      <c r="L26">
        <v>0.0</v>
      </c>
      <c r="M26"/>
      <c r="N26"/>
      <c r="O26">
        <v>50.34</v>
      </c>
      <c r="P26">
        <v>0.0</v>
      </c>
      <c r="Q26">
        <v>330.0</v>
      </c>
      <c r="R26"/>
      <c r="S26"/>
      <c r="T26"/>
      <c r="U26"/>
      <c r="V26"/>
      <c r="W26">
        <v>18</v>
      </c>
    </row>
    <row r="27" spans="1:23">
      <c r="A27"/>
      <c r="B27" t="s">
        <v>40</v>
      </c>
      <c r="C27" t="s">
        <v>40</v>
      </c>
      <c r="D27" t="s">
        <v>37</v>
      </c>
      <c r="E27" t="s">
        <v>38</v>
      </c>
      <c r="F27" t="str">
        <f>"0000142"</f>
        <v>0000142</v>
      </c>
      <c r="G27">
        <v>1</v>
      </c>
      <c r="H27" t="str">
        <f>"00000000"</f>
        <v>00000000</v>
      </c>
      <c r="I27" t="s">
        <v>39</v>
      </c>
      <c r="J27"/>
      <c r="K27">
        <v>406.78</v>
      </c>
      <c r="L27">
        <v>0.0</v>
      </c>
      <c r="M27"/>
      <c r="N27"/>
      <c r="O27">
        <v>73.22</v>
      </c>
      <c r="P27">
        <v>0.0</v>
      </c>
      <c r="Q27">
        <v>480.0</v>
      </c>
      <c r="R27"/>
      <c r="S27"/>
      <c r="T27"/>
      <c r="U27"/>
      <c r="V27"/>
      <c r="W27">
        <v>18</v>
      </c>
    </row>
    <row r="28" spans="1:23">
      <c r="A28"/>
      <c r="B28" t="s">
        <v>40</v>
      </c>
      <c r="C28" t="s">
        <v>40</v>
      </c>
      <c r="D28" t="s">
        <v>37</v>
      </c>
      <c r="E28" t="s">
        <v>38</v>
      </c>
      <c r="F28" t="str">
        <f>"0000143"</f>
        <v>0000143</v>
      </c>
      <c r="G28">
        <v>1</v>
      </c>
      <c r="H28" t="str">
        <f>"00000000"</f>
        <v>00000000</v>
      </c>
      <c r="I28" t="s">
        <v>39</v>
      </c>
      <c r="J28"/>
      <c r="K28">
        <v>254.24</v>
      </c>
      <c r="L28">
        <v>0.0</v>
      </c>
      <c r="M28"/>
      <c r="N28"/>
      <c r="O28">
        <v>45.76</v>
      </c>
      <c r="P28">
        <v>0.0</v>
      </c>
      <c r="Q28">
        <v>300.0</v>
      </c>
      <c r="R28"/>
      <c r="S28"/>
      <c r="T28"/>
      <c r="U28"/>
      <c r="V28"/>
      <c r="W28">
        <v>18</v>
      </c>
    </row>
    <row r="29" spans="1:23">
      <c r="A29"/>
      <c r="B29" t="s">
        <v>40</v>
      </c>
      <c r="C29" t="s">
        <v>40</v>
      </c>
      <c r="D29" t="s">
        <v>37</v>
      </c>
      <c r="E29" t="s">
        <v>38</v>
      </c>
      <c r="F29" t="str">
        <f>"0000144"</f>
        <v>0000144</v>
      </c>
      <c r="G29">
        <v>1</v>
      </c>
      <c r="H29" t="str">
        <f>"00000000"</f>
        <v>00000000</v>
      </c>
      <c r="I29" t="s">
        <v>39</v>
      </c>
      <c r="J29"/>
      <c r="K29">
        <v>338.98</v>
      </c>
      <c r="L29">
        <v>0.0</v>
      </c>
      <c r="M29"/>
      <c r="N29"/>
      <c r="O29">
        <v>61.02</v>
      </c>
      <c r="P29">
        <v>0.0</v>
      </c>
      <c r="Q29">
        <v>400.0</v>
      </c>
      <c r="R29"/>
      <c r="S29"/>
      <c r="T29"/>
      <c r="U29"/>
      <c r="V29"/>
      <c r="W29">
        <v>18</v>
      </c>
    </row>
    <row r="30" spans="1:23">
      <c r="A30"/>
      <c r="B30" t="s">
        <v>40</v>
      </c>
      <c r="C30" t="s">
        <v>40</v>
      </c>
      <c r="D30" t="s">
        <v>37</v>
      </c>
      <c r="E30" t="s">
        <v>38</v>
      </c>
      <c r="F30" t="str">
        <f>"0000145"</f>
        <v>0000145</v>
      </c>
      <c r="G30">
        <v>1</v>
      </c>
      <c r="H30" t="str">
        <f>"00000000"</f>
        <v>00000000</v>
      </c>
      <c r="I30" t="s">
        <v>39</v>
      </c>
      <c r="J30"/>
      <c r="K30">
        <v>254.24</v>
      </c>
      <c r="L30">
        <v>0.0</v>
      </c>
      <c r="M30"/>
      <c r="N30"/>
      <c r="O30">
        <v>45.76</v>
      </c>
      <c r="P30">
        <v>0.0</v>
      </c>
      <c r="Q30">
        <v>300.0</v>
      </c>
      <c r="R30"/>
      <c r="S30"/>
      <c r="T30"/>
      <c r="U30"/>
      <c r="V30"/>
      <c r="W30">
        <v>18</v>
      </c>
    </row>
    <row r="31" spans="1:23">
      <c r="A31"/>
      <c r="B31" t="s">
        <v>40</v>
      </c>
      <c r="C31" t="s">
        <v>40</v>
      </c>
      <c r="D31" t="s">
        <v>37</v>
      </c>
      <c r="E31" t="s">
        <v>38</v>
      </c>
      <c r="F31" t="str">
        <f>"0000146"</f>
        <v>0000146</v>
      </c>
      <c r="G31">
        <v>1</v>
      </c>
      <c r="H31" t="str">
        <f>"00000000"</f>
        <v>00000000</v>
      </c>
      <c r="I31" t="s">
        <v>39</v>
      </c>
      <c r="J31"/>
      <c r="K31">
        <v>262.71</v>
      </c>
      <c r="L31">
        <v>0.0</v>
      </c>
      <c r="M31"/>
      <c r="N31"/>
      <c r="O31">
        <v>47.29</v>
      </c>
      <c r="P31">
        <v>0.0</v>
      </c>
      <c r="Q31">
        <v>310.0</v>
      </c>
      <c r="R31"/>
      <c r="S31"/>
      <c r="T31"/>
      <c r="U31"/>
      <c r="V31"/>
      <c r="W31">
        <v>18</v>
      </c>
    </row>
    <row r="32" spans="1:23">
      <c r="A32"/>
      <c r="B32" t="s">
        <v>40</v>
      </c>
      <c r="C32" t="s">
        <v>40</v>
      </c>
      <c r="D32" t="s">
        <v>37</v>
      </c>
      <c r="E32" t="s">
        <v>38</v>
      </c>
      <c r="F32" t="str">
        <f>"0000147"</f>
        <v>0000147</v>
      </c>
      <c r="G32">
        <v>1</v>
      </c>
      <c r="H32" t="str">
        <f>"00000000"</f>
        <v>00000000</v>
      </c>
      <c r="I32" t="s">
        <v>39</v>
      </c>
      <c r="J32"/>
      <c r="K32">
        <v>322.03</v>
      </c>
      <c r="L32">
        <v>0.0</v>
      </c>
      <c r="M32"/>
      <c r="N32"/>
      <c r="O32">
        <v>57.97</v>
      </c>
      <c r="P32">
        <v>0.0</v>
      </c>
      <c r="Q32">
        <v>380.0</v>
      </c>
      <c r="R32"/>
      <c r="S32"/>
      <c r="T32"/>
      <c r="U32"/>
      <c r="V32"/>
      <c r="W32">
        <v>18</v>
      </c>
    </row>
    <row r="33" spans="1:23">
      <c r="A33"/>
      <c r="B33" t="s">
        <v>40</v>
      </c>
      <c r="C33" t="s">
        <v>40</v>
      </c>
      <c r="D33" t="s">
        <v>37</v>
      </c>
      <c r="E33" t="s">
        <v>38</v>
      </c>
      <c r="F33" t="str">
        <f>"0000148"</f>
        <v>0000148</v>
      </c>
      <c r="G33">
        <v>1</v>
      </c>
      <c r="H33" t="str">
        <f>"00000000"</f>
        <v>00000000</v>
      </c>
      <c r="I33" t="s">
        <v>39</v>
      </c>
      <c r="J33"/>
      <c r="K33">
        <v>241.53</v>
      </c>
      <c r="L33">
        <v>0.0</v>
      </c>
      <c r="M33"/>
      <c r="N33"/>
      <c r="O33">
        <v>43.47</v>
      </c>
      <c r="P33">
        <v>0.0</v>
      </c>
      <c r="Q33">
        <v>285.0</v>
      </c>
      <c r="R33"/>
      <c r="S33"/>
      <c r="T33"/>
      <c r="U33"/>
      <c r="V33"/>
      <c r="W33">
        <v>18</v>
      </c>
    </row>
    <row r="34" spans="1:23">
      <c r="A34"/>
      <c r="B34" t="s">
        <v>40</v>
      </c>
      <c r="C34" t="s">
        <v>40</v>
      </c>
      <c r="D34" t="s">
        <v>37</v>
      </c>
      <c r="E34" t="s">
        <v>38</v>
      </c>
      <c r="F34" t="str">
        <f>"0000149"</f>
        <v>0000149</v>
      </c>
      <c r="G34">
        <v>1</v>
      </c>
      <c r="H34" t="str">
        <f>"00000000"</f>
        <v>00000000</v>
      </c>
      <c r="I34" t="s">
        <v>39</v>
      </c>
      <c r="J34"/>
      <c r="K34">
        <v>296.61</v>
      </c>
      <c r="L34">
        <v>0.0</v>
      </c>
      <c r="M34"/>
      <c r="N34"/>
      <c r="O34">
        <v>53.39</v>
      </c>
      <c r="P34">
        <v>0.0</v>
      </c>
      <c r="Q34">
        <v>350.0</v>
      </c>
      <c r="R34"/>
      <c r="S34"/>
      <c r="T34"/>
      <c r="U34"/>
      <c r="V34"/>
      <c r="W34">
        <v>18</v>
      </c>
    </row>
    <row r="35" spans="1:23">
      <c r="A35"/>
      <c r="B35" t="s">
        <v>40</v>
      </c>
      <c r="C35" t="s">
        <v>40</v>
      </c>
      <c r="D35" t="s">
        <v>37</v>
      </c>
      <c r="E35" t="s">
        <v>38</v>
      </c>
      <c r="F35" t="str">
        <f>"0000150"</f>
        <v>0000150</v>
      </c>
      <c r="G35">
        <v>1</v>
      </c>
      <c r="H35" t="str">
        <f>"00000000"</f>
        <v>00000000</v>
      </c>
      <c r="I35" t="s">
        <v>39</v>
      </c>
      <c r="J35"/>
      <c r="K35">
        <v>296.61</v>
      </c>
      <c r="L35">
        <v>0.0</v>
      </c>
      <c r="M35"/>
      <c r="N35"/>
      <c r="O35">
        <v>53.39</v>
      </c>
      <c r="P35">
        <v>0.0</v>
      </c>
      <c r="Q35">
        <v>350.0</v>
      </c>
      <c r="R35"/>
      <c r="S35"/>
      <c r="T35"/>
      <c r="U35"/>
      <c r="V35"/>
      <c r="W35">
        <v>18</v>
      </c>
    </row>
    <row r="36" spans="1:23">
      <c r="A36"/>
      <c r="B36" t="s">
        <v>40</v>
      </c>
      <c r="C36" t="s">
        <v>40</v>
      </c>
      <c r="D36" t="s">
        <v>37</v>
      </c>
      <c r="E36" t="s">
        <v>38</v>
      </c>
      <c r="F36" t="str">
        <f>"0000151"</f>
        <v>0000151</v>
      </c>
      <c r="G36">
        <v>1</v>
      </c>
      <c r="H36" t="str">
        <f>"00000000"</f>
        <v>00000000</v>
      </c>
      <c r="I36" t="s">
        <v>39</v>
      </c>
      <c r="J36"/>
      <c r="K36">
        <v>305.08</v>
      </c>
      <c r="L36">
        <v>0.0</v>
      </c>
      <c r="M36"/>
      <c r="N36"/>
      <c r="O36">
        <v>54.92</v>
      </c>
      <c r="P36">
        <v>0.0</v>
      </c>
      <c r="Q36">
        <v>360.0</v>
      </c>
      <c r="R36"/>
      <c r="S36"/>
      <c r="T36"/>
      <c r="U36"/>
      <c r="V36"/>
      <c r="W36">
        <v>18</v>
      </c>
    </row>
    <row r="37" spans="1:23">
      <c r="A37"/>
      <c r="B37" t="s">
        <v>40</v>
      </c>
      <c r="C37" t="s">
        <v>40</v>
      </c>
      <c r="D37" t="s">
        <v>37</v>
      </c>
      <c r="E37" t="s">
        <v>38</v>
      </c>
      <c r="F37" t="str">
        <f>"0000152"</f>
        <v>0000152</v>
      </c>
      <c r="G37">
        <v>1</v>
      </c>
      <c r="H37" t="str">
        <f>"00000000"</f>
        <v>00000000</v>
      </c>
      <c r="I37" t="s">
        <v>39</v>
      </c>
      <c r="J37"/>
      <c r="K37">
        <v>165.25</v>
      </c>
      <c r="L37">
        <v>0.0</v>
      </c>
      <c r="M37"/>
      <c r="N37"/>
      <c r="O37">
        <v>29.75</v>
      </c>
      <c r="P37">
        <v>0.0</v>
      </c>
      <c r="Q37">
        <v>195.0</v>
      </c>
      <c r="R37"/>
      <c r="S37"/>
      <c r="T37"/>
      <c r="U37"/>
      <c r="V37"/>
      <c r="W37">
        <v>18</v>
      </c>
    </row>
    <row r="38" spans="1:23">
      <c r="A38"/>
      <c r="B38" t="s">
        <v>40</v>
      </c>
      <c r="C38" t="s">
        <v>40</v>
      </c>
      <c r="D38" t="s">
        <v>37</v>
      </c>
      <c r="E38" t="s">
        <v>38</v>
      </c>
      <c r="F38" t="str">
        <f>"0000153"</f>
        <v>0000153</v>
      </c>
      <c r="G38">
        <v>1</v>
      </c>
      <c r="H38" t="str">
        <f>"00000000"</f>
        <v>00000000</v>
      </c>
      <c r="I38" t="s">
        <v>39</v>
      </c>
      <c r="J38"/>
      <c r="K38">
        <v>237.29</v>
      </c>
      <c r="L38">
        <v>0.0</v>
      </c>
      <c r="M38"/>
      <c r="N38"/>
      <c r="O38">
        <v>42.71</v>
      </c>
      <c r="P38">
        <v>0.0</v>
      </c>
      <c r="Q38">
        <v>280.0</v>
      </c>
      <c r="R38"/>
      <c r="S38"/>
      <c r="T38"/>
      <c r="U38"/>
      <c r="V38"/>
      <c r="W38">
        <v>18</v>
      </c>
    </row>
    <row r="39" spans="1:23">
      <c r="A39"/>
      <c r="B39" t="s">
        <v>40</v>
      </c>
      <c r="C39" t="s">
        <v>40</v>
      </c>
      <c r="D39" t="s">
        <v>37</v>
      </c>
      <c r="E39" t="s">
        <v>38</v>
      </c>
      <c r="F39" t="str">
        <f>"0000154"</f>
        <v>0000154</v>
      </c>
      <c r="G39">
        <v>1</v>
      </c>
      <c r="H39" t="str">
        <f>"00000000"</f>
        <v>00000000</v>
      </c>
      <c r="I39" t="s">
        <v>39</v>
      </c>
      <c r="J39"/>
      <c r="K39">
        <v>296.61</v>
      </c>
      <c r="L39">
        <v>0.0</v>
      </c>
      <c r="M39"/>
      <c r="N39"/>
      <c r="O39">
        <v>53.39</v>
      </c>
      <c r="P39">
        <v>0.0</v>
      </c>
      <c r="Q39">
        <v>350.0</v>
      </c>
      <c r="R39"/>
      <c r="S39"/>
      <c r="T39"/>
      <c r="U39"/>
      <c r="V39"/>
      <c r="W39">
        <v>18</v>
      </c>
    </row>
    <row r="40" spans="1:23">
      <c r="A40"/>
      <c r="B40" t="s">
        <v>40</v>
      </c>
      <c r="C40" t="s">
        <v>40</v>
      </c>
      <c r="D40" t="s">
        <v>37</v>
      </c>
      <c r="E40" t="s">
        <v>38</v>
      </c>
      <c r="F40" t="str">
        <f>"0000155"</f>
        <v>0000155</v>
      </c>
      <c r="G40">
        <v>1</v>
      </c>
      <c r="H40" t="str">
        <f>"00000000"</f>
        <v>00000000</v>
      </c>
      <c r="I40" t="s">
        <v>39</v>
      </c>
      <c r="J40"/>
      <c r="K40">
        <v>292.37</v>
      </c>
      <c r="L40">
        <v>0.0</v>
      </c>
      <c r="M40"/>
      <c r="N40"/>
      <c r="O40">
        <v>52.63</v>
      </c>
      <c r="P40">
        <v>0.0</v>
      </c>
      <c r="Q40">
        <v>345.0</v>
      </c>
      <c r="R40"/>
      <c r="S40"/>
      <c r="T40"/>
      <c r="U40"/>
      <c r="V40"/>
      <c r="W40">
        <v>18</v>
      </c>
    </row>
    <row r="41" spans="1:23">
      <c r="A41"/>
      <c r="B41" t="s">
        <v>40</v>
      </c>
      <c r="C41" t="s">
        <v>40</v>
      </c>
      <c r="D41" t="s">
        <v>37</v>
      </c>
      <c r="E41" t="s">
        <v>38</v>
      </c>
      <c r="F41" t="str">
        <f>"0000156"</f>
        <v>0000156</v>
      </c>
      <c r="G41">
        <v>1</v>
      </c>
      <c r="H41" t="str">
        <f>"00000000"</f>
        <v>00000000</v>
      </c>
      <c r="I41" t="s">
        <v>39</v>
      </c>
      <c r="J41"/>
      <c r="K41">
        <v>377.12</v>
      </c>
      <c r="L41">
        <v>0.0</v>
      </c>
      <c r="M41"/>
      <c r="N41"/>
      <c r="O41">
        <v>67.88</v>
      </c>
      <c r="P41">
        <v>0.0</v>
      </c>
      <c r="Q41">
        <v>445.0</v>
      </c>
      <c r="R41"/>
      <c r="S41"/>
      <c r="T41"/>
      <c r="U41"/>
      <c r="V41"/>
      <c r="W41">
        <v>18</v>
      </c>
    </row>
    <row r="42" spans="1:23">
      <c r="A42"/>
      <c r="B42" t="s">
        <v>40</v>
      </c>
      <c r="C42" t="s">
        <v>40</v>
      </c>
      <c r="D42" t="s">
        <v>37</v>
      </c>
      <c r="E42" t="s">
        <v>38</v>
      </c>
      <c r="F42" t="str">
        <f>"0000157"</f>
        <v>0000157</v>
      </c>
      <c r="G42">
        <v>1</v>
      </c>
      <c r="H42" t="str">
        <f>"00000000"</f>
        <v>00000000</v>
      </c>
      <c r="I42" t="s">
        <v>39</v>
      </c>
      <c r="J42"/>
      <c r="K42">
        <v>237.29</v>
      </c>
      <c r="L42">
        <v>0.0</v>
      </c>
      <c r="M42"/>
      <c r="N42"/>
      <c r="O42">
        <v>42.71</v>
      </c>
      <c r="P42">
        <v>0.0</v>
      </c>
      <c r="Q42">
        <v>280.0</v>
      </c>
      <c r="R42"/>
      <c r="S42"/>
      <c r="T42"/>
      <c r="U42"/>
      <c r="V42"/>
      <c r="W42">
        <v>18</v>
      </c>
    </row>
    <row r="43" spans="1:23">
      <c r="A43"/>
      <c r="B43" t="s">
        <v>40</v>
      </c>
      <c r="C43" t="s">
        <v>40</v>
      </c>
      <c r="D43" t="s">
        <v>37</v>
      </c>
      <c r="E43" t="s">
        <v>38</v>
      </c>
      <c r="F43" t="str">
        <f>"0000158"</f>
        <v>0000158</v>
      </c>
      <c r="G43">
        <v>1</v>
      </c>
      <c r="H43" t="str">
        <f>"00000000"</f>
        <v>00000000</v>
      </c>
      <c r="I43" t="s">
        <v>39</v>
      </c>
      <c r="J43"/>
      <c r="K43">
        <v>271.19</v>
      </c>
      <c r="L43">
        <v>0.0</v>
      </c>
      <c r="M43"/>
      <c r="N43"/>
      <c r="O43">
        <v>48.81</v>
      </c>
      <c r="P43">
        <v>0.0</v>
      </c>
      <c r="Q43">
        <v>320.0</v>
      </c>
      <c r="R43"/>
      <c r="S43"/>
      <c r="T43"/>
      <c r="U43"/>
      <c r="V43"/>
      <c r="W43">
        <v>18</v>
      </c>
    </row>
    <row r="44" spans="1:23">
      <c r="A44"/>
      <c r="B44" t="s">
        <v>40</v>
      </c>
      <c r="C44" t="s">
        <v>40</v>
      </c>
      <c r="D44" t="s">
        <v>37</v>
      </c>
      <c r="E44" t="s">
        <v>38</v>
      </c>
      <c r="F44" t="str">
        <f>"0000159"</f>
        <v>0000159</v>
      </c>
      <c r="G44">
        <v>1</v>
      </c>
      <c r="H44" t="str">
        <f>"00000000"</f>
        <v>00000000</v>
      </c>
      <c r="I44" t="s">
        <v>39</v>
      </c>
      <c r="J44"/>
      <c r="K44">
        <v>355.93</v>
      </c>
      <c r="L44">
        <v>0.0</v>
      </c>
      <c r="M44"/>
      <c r="N44"/>
      <c r="O44">
        <v>64.07</v>
      </c>
      <c r="P44">
        <v>0.0</v>
      </c>
      <c r="Q44">
        <v>420.0</v>
      </c>
      <c r="R44"/>
      <c r="S44"/>
      <c r="T44"/>
      <c r="U44"/>
      <c r="V44"/>
      <c r="W44">
        <v>18</v>
      </c>
    </row>
    <row r="45" spans="1:23">
      <c r="A45"/>
      <c r="B45" t="s">
        <v>40</v>
      </c>
      <c r="C45" t="s">
        <v>40</v>
      </c>
      <c r="D45" t="s">
        <v>37</v>
      </c>
      <c r="E45" t="s">
        <v>38</v>
      </c>
      <c r="F45" t="str">
        <f>"0000160"</f>
        <v>0000160</v>
      </c>
      <c r="G45">
        <v>1</v>
      </c>
      <c r="H45" t="str">
        <f>"00000000"</f>
        <v>00000000</v>
      </c>
      <c r="I45" t="s">
        <v>39</v>
      </c>
      <c r="J45"/>
      <c r="K45">
        <v>254.24</v>
      </c>
      <c r="L45">
        <v>0.0</v>
      </c>
      <c r="M45"/>
      <c r="N45"/>
      <c r="O45">
        <v>45.76</v>
      </c>
      <c r="P45">
        <v>0.0</v>
      </c>
      <c r="Q45">
        <v>300.0</v>
      </c>
      <c r="R45"/>
      <c r="S45"/>
      <c r="T45"/>
      <c r="U45"/>
      <c r="V45"/>
      <c r="W45">
        <v>18</v>
      </c>
    </row>
    <row r="46" spans="1:23">
      <c r="A46"/>
      <c r="B46" t="s">
        <v>40</v>
      </c>
      <c r="C46" t="s">
        <v>40</v>
      </c>
      <c r="D46" t="s">
        <v>37</v>
      </c>
      <c r="E46" t="s">
        <v>38</v>
      </c>
      <c r="F46" t="str">
        <f>"0000161"</f>
        <v>0000161</v>
      </c>
      <c r="G46">
        <v>1</v>
      </c>
      <c r="H46" t="str">
        <f>"00000000"</f>
        <v>00000000</v>
      </c>
      <c r="I46" t="s">
        <v>39</v>
      </c>
      <c r="J46"/>
      <c r="K46">
        <v>381.36</v>
      </c>
      <c r="L46">
        <v>0.0</v>
      </c>
      <c r="M46"/>
      <c r="N46"/>
      <c r="O46">
        <v>68.64</v>
      </c>
      <c r="P46">
        <v>0.0</v>
      </c>
      <c r="Q46">
        <v>450.0</v>
      </c>
      <c r="R46"/>
      <c r="S46"/>
      <c r="T46"/>
      <c r="U46"/>
      <c r="V46"/>
      <c r="W46">
        <v>18</v>
      </c>
    </row>
    <row r="47" spans="1:23">
      <c r="A47"/>
      <c r="B47" t="s">
        <v>40</v>
      </c>
      <c r="C47" t="s">
        <v>40</v>
      </c>
      <c r="D47" t="s">
        <v>37</v>
      </c>
      <c r="E47" t="s">
        <v>38</v>
      </c>
      <c r="F47" t="str">
        <f>"0000162"</f>
        <v>0000162</v>
      </c>
      <c r="G47">
        <v>1</v>
      </c>
      <c r="H47" t="str">
        <f>"00000000"</f>
        <v>00000000</v>
      </c>
      <c r="I47" t="s">
        <v>39</v>
      </c>
      <c r="J47"/>
      <c r="K47">
        <v>220.34</v>
      </c>
      <c r="L47">
        <v>0.0</v>
      </c>
      <c r="M47"/>
      <c r="N47"/>
      <c r="O47">
        <v>39.66</v>
      </c>
      <c r="P47">
        <v>0.0</v>
      </c>
      <c r="Q47">
        <v>260.0</v>
      </c>
      <c r="R47"/>
      <c r="S47"/>
      <c r="T47"/>
      <c r="U47"/>
      <c r="V47"/>
      <c r="W47">
        <v>18</v>
      </c>
    </row>
    <row r="48" spans="1:23">
      <c r="A48"/>
      <c r="B48" t="s">
        <v>40</v>
      </c>
      <c r="C48" t="s">
        <v>40</v>
      </c>
      <c r="D48" t="s">
        <v>37</v>
      </c>
      <c r="E48" t="s">
        <v>38</v>
      </c>
      <c r="F48" t="str">
        <f>"0000163"</f>
        <v>0000163</v>
      </c>
      <c r="G48">
        <v>1</v>
      </c>
      <c r="H48" t="str">
        <f>"00000000"</f>
        <v>00000000</v>
      </c>
      <c r="I48" t="s">
        <v>39</v>
      </c>
      <c r="J48"/>
      <c r="K48">
        <v>211.86</v>
      </c>
      <c r="L48">
        <v>0.0</v>
      </c>
      <c r="M48"/>
      <c r="N48"/>
      <c r="O48">
        <v>38.14</v>
      </c>
      <c r="P48">
        <v>0.0</v>
      </c>
      <c r="Q48">
        <v>250.0</v>
      </c>
      <c r="R48"/>
      <c r="S48"/>
      <c r="T48"/>
      <c r="U48"/>
      <c r="V48"/>
      <c r="W48">
        <v>18</v>
      </c>
    </row>
    <row r="49" spans="1:23">
      <c r="A49"/>
      <c r="B49" t="s">
        <v>40</v>
      </c>
      <c r="C49" t="s">
        <v>40</v>
      </c>
      <c r="D49" t="s">
        <v>37</v>
      </c>
      <c r="E49" t="s">
        <v>38</v>
      </c>
      <c r="F49" t="str">
        <f>"0000164"</f>
        <v>0000164</v>
      </c>
      <c r="G49">
        <v>1</v>
      </c>
      <c r="H49" t="str">
        <f>"00000000"</f>
        <v>00000000</v>
      </c>
      <c r="I49" t="s">
        <v>39</v>
      </c>
      <c r="J49"/>
      <c r="K49">
        <v>211.86</v>
      </c>
      <c r="L49">
        <v>0.0</v>
      </c>
      <c r="M49"/>
      <c r="N49"/>
      <c r="O49">
        <v>38.14</v>
      </c>
      <c r="P49">
        <v>0.0</v>
      </c>
      <c r="Q49">
        <v>250.0</v>
      </c>
      <c r="R49"/>
      <c r="S49"/>
      <c r="T49"/>
      <c r="U49"/>
      <c r="V49"/>
      <c r="W49">
        <v>18</v>
      </c>
    </row>
    <row r="50" spans="1:23">
      <c r="A50"/>
      <c r="B50" t="s">
        <v>40</v>
      </c>
      <c r="C50" t="s">
        <v>40</v>
      </c>
      <c r="D50" t="s">
        <v>37</v>
      </c>
      <c r="E50" t="s">
        <v>38</v>
      </c>
      <c r="F50" t="str">
        <f>"0000165"</f>
        <v>0000165</v>
      </c>
      <c r="G50">
        <v>1</v>
      </c>
      <c r="H50" t="str">
        <f>"00000000"</f>
        <v>00000000</v>
      </c>
      <c r="I50" t="s">
        <v>39</v>
      </c>
      <c r="J50"/>
      <c r="K50">
        <v>327.12</v>
      </c>
      <c r="L50">
        <v>0.0</v>
      </c>
      <c r="M50"/>
      <c r="N50"/>
      <c r="O50">
        <v>58.88</v>
      </c>
      <c r="P50">
        <v>0.0</v>
      </c>
      <c r="Q50">
        <v>386.0</v>
      </c>
      <c r="R50"/>
      <c r="S50"/>
      <c r="T50"/>
      <c r="U50"/>
      <c r="V50"/>
      <c r="W50">
        <v>18</v>
      </c>
    </row>
    <row r="51" spans="1:23">
      <c r="A51"/>
      <c r="B51" t="s">
        <v>41</v>
      </c>
      <c r="C51" t="s">
        <v>41</v>
      </c>
      <c r="D51" t="s">
        <v>37</v>
      </c>
      <c r="E51" t="s">
        <v>38</v>
      </c>
      <c r="F51" t="str">
        <f>"0000166"</f>
        <v>0000166</v>
      </c>
      <c r="G51">
        <v>1</v>
      </c>
      <c r="H51" t="str">
        <f>"00000000"</f>
        <v>00000000</v>
      </c>
      <c r="I51" t="s">
        <v>39</v>
      </c>
      <c r="J51"/>
      <c r="K51">
        <v>322.03</v>
      </c>
      <c r="L51">
        <v>0.0</v>
      </c>
      <c r="M51"/>
      <c r="N51"/>
      <c r="O51">
        <v>57.97</v>
      </c>
      <c r="P51">
        <v>0.0</v>
      </c>
      <c r="Q51">
        <v>380.0</v>
      </c>
      <c r="R51"/>
      <c r="S51"/>
      <c r="T51"/>
      <c r="U51"/>
      <c r="V51"/>
      <c r="W51">
        <v>18</v>
      </c>
    </row>
    <row r="52" spans="1:23">
      <c r="A52"/>
      <c r="B52" t="s">
        <v>41</v>
      </c>
      <c r="C52" t="s">
        <v>41</v>
      </c>
      <c r="D52" t="s">
        <v>37</v>
      </c>
      <c r="E52" t="s">
        <v>38</v>
      </c>
      <c r="F52" t="str">
        <f>"0000167"</f>
        <v>0000167</v>
      </c>
      <c r="G52">
        <v>1</v>
      </c>
      <c r="H52" t="str">
        <f>"00000000"</f>
        <v>00000000</v>
      </c>
      <c r="I52" t="s">
        <v>39</v>
      </c>
      <c r="J52"/>
      <c r="K52">
        <v>237.29</v>
      </c>
      <c r="L52">
        <v>0.0</v>
      </c>
      <c r="M52"/>
      <c r="N52"/>
      <c r="O52">
        <v>42.71</v>
      </c>
      <c r="P52">
        <v>0.0</v>
      </c>
      <c r="Q52">
        <v>280.0</v>
      </c>
      <c r="R52"/>
      <c r="S52"/>
      <c r="T52"/>
      <c r="U52"/>
      <c r="V52"/>
      <c r="W52">
        <v>18</v>
      </c>
    </row>
    <row r="53" spans="1:23">
      <c r="A53"/>
      <c r="B53" t="s">
        <v>41</v>
      </c>
      <c r="C53" t="s">
        <v>41</v>
      </c>
      <c r="D53" t="s">
        <v>37</v>
      </c>
      <c r="E53" t="s">
        <v>38</v>
      </c>
      <c r="F53" t="str">
        <f>"0000168"</f>
        <v>0000168</v>
      </c>
      <c r="G53">
        <v>1</v>
      </c>
      <c r="H53" t="str">
        <f>"00000000"</f>
        <v>00000000</v>
      </c>
      <c r="I53" t="s">
        <v>39</v>
      </c>
      <c r="J53"/>
      <c r="K53">
        <v>254.24</v>
      </c>
      <c r="L53">
        <v>0.0</v>
      </c>
      <c r="M53"/>
      <c r="N53"/>
      <c r="O53">
        <v>45.76</v>
      </c>
      <c r="P53">
        <v>0.0</v>
      </c>
      <c r="Q53">
        <v>300.0</v>
      </c>
      <c r="R53"/>
      <c r="S53"/>
      <c r="T53"/>
      <c r="U53"/>
      <c r="V53"/>
      <c r="W53">
        <v>18</v>
      </c>
    </row>
    <row r="54" spans="1:23">
      <c r="A54"/>
      <c r="B54" t="s">
        <v>41</v>
      </c>
      <c r="C54" t="s">
        <v>41</v>
      </c>
      <c r="D54" t="s">
        <v>37</v>
      </c>
      <c r="E54" t="s">
        <v>38</v>
      </c>
      <c r="F54" t="str">
        <f>"0000169"</f>
        <v>0000169</v>
      </c>
      <c r="G54">
        <v>1</v>
      </c>
      <c r="H54" t="str">
        <f>"00000000"</f>
        <v>00000000</v>
      </c>
      <c r="I54" t="s">
        <v>39</v>
      </c>
      <c r="J54"/>
      <c r="K54">
        <v>389.83</v>
      </c>
      <c r="L54">
        <v>0.0</v>
      </c>
      <c r="M54"/>
      <c r="N54"/>
      <c r="O54">
        <v>70.17</v>
      </c>
      <c r="P54">
        <v>0.0</v>
      </c>
      <c r="Q54">
        <v>460.0</v>
      </c>
      <c r="R54"/>
      <c r="S54"/>
      <c r="T54"/>
      <c r="U54"/>
      <c r="V54"/>
      <c r="W54">
        <v>18</v>
      </c>
    </row>
    <row r="55" spans="1:23">
      <c r="A55"/>
      <c r="B55" t="s">
        <v>41</v>
      </c>
      <c r="C55" t="s">
        <v>41</v>
      </c>
      <c r="D55" t="s">
        <v>37</v>
      </c>
      <c r="E55" t="s">
        <v>38</v>
      </c>
      <c r="F55" t="str">
        <f>"0000170"</f>
        <v>0000170</v>
      </c>
      <c r="G55">
        <v>1</v>
      </c>
      <c r="H55" t="str">
        <f>"00000000"</f>
        <v>00000000</v>
      </c>
      <c r="I55" t="s">
        <v>39</v>
      </c>
      <c r="J55"/>
      <c r="K55">
        <v>296.61</v>
      </c>
      <c r="L55">
        <v>0.0</v>
      </c>
      <c r="M55"/>
      <c r="N55"/>
      <c r="O55">
        <v>53.39</v>
      </c>
      <c r="P55">
        <v>0.0</v>
      </c>
      <c r="Q55">
        <v>350.0</v>
      </c>
      <c r="R55"/>
      <c r="S55"/>
      <c r="T55"/>
      <c r="U55"/>
      <c r="V55"/>
      <c r="W55">
        <v>18</v>
      </c>
    </row>
    <row r="56" spans="1:23">
      <c r="A56"/>
      <c r="B56" t="s">
        <v>41</v>
      </c>
      <c r="C56" t="s">
        <v>41</v>
      </c>
      <c r="D56" t="s">
        <v>37</v>
      </c>
      <c r="E56" t="s">
        <v>38</v>
      </c>
      <c r="F56" t="str">
        <f>"0000171"</f>
        <v>0000171</v>
      </c>
      <c r="G56">
        <v>1</v>
      </c>
      <c r="H56" t="str">
        <f>"00000000"</f>
        <v>00000000</v>
      </c>
      <c r="I56" t="s">
        <v>39</v>
      </c>
      <c r="J56"/>
      <c r="K56">
        <v>288.14</v>
      </c>
      <c r="L56">
        <v>0.0</v>
      </c>
      <c r="M56"/>
      <c r="N56"/>
      <c r="O56">
        <v>51.86</v>
      </c>
      <c r="P56">
        <v>0.0</v>
      </c>
      <c r="Q56">
        <v>340.0</v>
      </c>
      <c r="R56"/>
      <c r="S56"/>
      <c r="T56"/>
      <c r="U56"/>
      <c r="V56"/>
      <c r="W56">
        <v>18</v>
      </c>
    </row>
    <row r="57" spans="1:23">
      <c r="A57"/>
      <c r="B57" t="s">
        <v>41</v>
      </c>
      <c r="C57" t="s">
        <v>41</v>
      </c>
      <c r="D57" t="s">
        <v>37</v>
      </c>
      <c r="E57" t="s">
        <v>38</v>
      </c>
      <c r="F57" t="str">
        <f>"0000172"</f>
        <v>0000172</v>
      </c>
      <c r="G57">
        <v>1</v>
      </c>
      <c r="H57" t="str">
        <f>"00000000"</f>
        <v>00000000</v>
      </c>
      <c r="I57" t="s">
        <v>39</v>
      </c>
      <c r="J57"/>
      <c r="K57">
        <v>313.56</v>
      </c>
      <c r="L57">
        <v>0.0</v>
      </c>
      <c r="M57"/>
      <c r="N57"/>
      <c r="O57">
        <v>56.44</v>
      </c>
      <c r="P57">
        <v>0.0</v>
      </c>
      <c r="Q57">
        <v>370.0</v>
      </c>
      <c r="R57"/>
      <c r="S57"/>
      <c r="T57"/>
      <c r="U57"/>
      <c r="V57"/>
      <c r="W57">
        <v>18</v>
      </c>
    </row>
    <row r="58" spans="1:23">
      <c r="A58"/>
      <c r="B58" t="s">
        <v>41</v>
      </c>
      <c r="C58" t="s">
        <v>41</v>
      </c>
      <c r="D58" t="s">
        <v>37</v>
      </c>
      <c r="E58" t="s">
        <v>38</v>
      </c>
      <c r="F58" t="str">
        <f>"0000173"</f>
        <v>0000173</v>
      </c>
      <c r="G58">
        <v>1</v>
      </c>
      <c r="H58" t="str">
        <f>"00000000"</f>
        <v>00000000</v>
      </c>
      <c r="I58" t="s">
        <v>39</v>
      </c>
      <c r="J58"/>
      <c r="K58">
        <v>275.42</v>
      </c>
      <c r="L58">
        <v>0.0</v>
      </c>
      <c r="M58"/>
      <c r="N58"/>
      <c r="O58">
        <v>49.58</v>
      </c>
      <c r="P58">
        <v>0.0</v>
      </c>
      <c r="Q58">
        <v>325.0</v>
      </c>
      <c r="R58"/>
      <c r="S58"/>
      <c r="T58"/>
      <c r="U58"/>
      <c r="V58"/>
      <c r="W58">
        <v>18</v>
      </c>
    </row>
    <row r="59" spans="1:23">
      <c r="A59"/>
      <c r="B59" t="s">
        <v>41</v>
      </c>
      <c r="C59" t="s">
        <v>41</v>
      </c>
      <c r="D59" t="s">
        <v>37</v>
      </c>
      <c r="E59" t="s">
        <v>38</v>
      </c>
      <c r="F59" t="str">
        <f>"0000174"</f>
        <v>0000174</v>
      </c>
      <c r="G59">
        <v>1</v>
      </c>
      <c r="H59" t="str">
        <f>"00000000"</f>
        <v>00000000</v>
      </c>
      <c r="I59" t="s">
        <v>39</v>
      </c>
      <c r="J59"/>
      <c r="K59">
        <v>296.61</v>
      </c>
      <c r="L59">
        <v>0.0</v>
      </c>
      <c r="M59"/>
      <c r="N59"/>
      <c r="O59">
        <v>53.39</v>
      </c>
      <c r="P59">
        <v>0.0</v>
      </c>
      <c r="Q59">
        <v>350.0</v>
      </c>
      <c r="R59"/>
      <c r="S59"/>
      <c r="T59"/>
      <c r="U59"/>
      <c r="V59"/>
      <c r="W59">
        <v>18</v>
      </c>
    </row>
    <row r="60" spans="1:23">
      <c r="A60"/>
      <c r="B60" t="s">
        <v>41</v>
      </c>
      <c r="C60" t="s">
        <v>41</v>
      </c>
      <c r="D60" t="s">
        <v>37</v>
      </c>
      <c r="E60" t="s">
        <v>38</v>
      </c>
      <c r="F60" t="str">
        <f>"0000175"</f>
        <v>0000175</v>
      </c>
      <c r="G60">
        <v>1</v>
      </c>
      <c r="H60" t="str">
        <f>"00000000"</f>
        <v>00000000</v>
      </c>
      <c r="I60" t="s">
        <v>39</v>
      </c>
      <c r="J60"/>
      <c r="K60">
        <v>406.78</v>
      </c>
      <c r="L60">
        <v>0.0</v>
      </c>
      <c r="M60"/>
      <c r="N60"/>
      <c r="O60">
        <v>73.22</v>
      </c>
      <c r="P60">
        <v>0.0</v>
      </c>
      <c r="Q60">
        <v>480.0</v>
      </c>
      <c r="R60"/>
      <c r="S60"/>
      <c r="T60"/>
      <c r="U60"/>
      <c r="V60"/>
      <c r="W60">
        <v>18</v>
      </c>
    </row>
    <row r="61" spans="1:23">
      <c r="A61"/>
      <c r="B61" t="s">
        <v>41</v>
      </c>
      <c r="C61" t="s">
        <v>41</v>
      </c>
      <c r="D61" t="s">
        <v>37</v>
      </c>
      <c r="E61" t="s">
        <v>38</v>
      </c>
      <c r="F61" t="str">
        <f>"0000176"</f>
        <v>0000176</v>
      </c>
      <c r="G61">
        <v>1</v>
      </c>
      <c r="H61" t="str">
        <f>"00000000"</f>
        <v>00000000</v>
      </c>
      <c r="I61" t="s">
        <v>39</v>
      </c>
      <c r="J61"/>
      <c r="K61">
        <v>254.24</v>
      </c>
      <c r="L61">
        <v>0.0</v>
      </c>
      <c r="M61"/>
      <c r="N61"/>
      <c r="O61">
        <v>45.76</v>
      </c>
      <c r="P61">
        <v>0.0</v>
      </c>
      <c r="Q61">
        <v>300.0</v>
      </c>
      <c r="R61"/>
      <c r="S61"/>
      <c r="T61"/>
      <c r="U61"/>
      <c r="V61"/>
      <c r="W61">
        <v>18</v>
      </c>
    </row>
    <row r="62" spans="1:23">
      <c r="A62"/>
      <c r="B62" t="s">
        <v>41</v>
      </c>
      <c r="C62" t="s">
        <v>41</v>
      </c>
      <c r="D62" t="s">
        <v>37</v>
      </c>
      <c r="E62" t="s">
        <v>38</v>
      </c>
      <c r="F62" t="str">
        <f>"0000177"</f>
        <v>0000177</v>
      </c>
      <c r="G62">
        <v>1</v>
      </c>
      <c r="H62" t="str">
        <f>"00000000"</f>
        <v>00000000</v>
      </c>
      <c r="I62" t="s">
        <v>39</v>
      </c>
      <c r="J62"/>
      <c r="K62">
        <v>220.34</v>
      </c>
      <c r="L62">
        <v>0.0</v>
      </c>
      <c r="M62"/>
      <c r="N62"/>
      <c r="O62">
        <v>39.66</v>
      </c>
      <c r="P62">
        <v>0.0</v>
      </c>
      <c r="Q62">
        <v>260.0</v>
      </c>
      <c r="R62"/>
      <c r="S62"/>
      <c r="T62"/>
      <c r="U62"/>
      <c r="V62"/>
      <c r="W62">
        <v>18</v>
      </c>
    </row>
    <row r="63" spans="1:23">
      <c r="A63"/>
      <c r="B63" t="s">
        <v>41</v>
      </c>
      <c r="C63" t="s">
        <v>41</v>
      </c>
      <c r="D63" t="s">
        <v>37</v>
      </c>
      <c r="E63" t="s">
        <v>38</v>
      </c>
      <c r="F63" t="str">
        <f>"0000178"</f>
        <v>0000178</v>
      </c>
      <c r="G63">
        <v>1</v>
      </c>
      <c r="H63" t="str">
        <f>"00000000"</f>
        <v>00000000</v>
      </c>
      <c r="I63" t="s">
        <v>39</v>
      </c>
      <c r="J63"/>
      <c r="K63">
        <v>406.78</v>
      </c>
      <c r="L63">
        <v>0.0</v>
      </c>
      <c r="M63"/>
      <c r="N63"/>
      <c r="O63">
        <v>73.22</v>
      </c>
      <c r="P63">
        <v>0.0</v>
      </c>
      <c r="Q63">
        <v>480.0</v>
      </c>
      <c r="R63"/>
      <c r="S63"/>
      <c r="T63"/>
      <c r="U63"/>
      <c r="V63"/>
      <c r="W63">
        <v>18</v>
      </c>
    </row>
    <row r="64" spans="1:23">
      <c r="A64"/>
      <c r="B64" t="s">
        <v>41</v>
      </c>
      <c r="C64" t="s">
        <v>41</v>
      </c>
      <c r="D64" t="s">
        <v>37</v>
      </c>
      <c r="E64" t="s">
        <v>38</v>
      </c>
      <c r="F64" t="str">
        <f>"0000179"</f>
        <v>0000179</v>
      </c>
      <c r="G64">
        <v>1</v>
      </c>
      <c r="H64" t="str">
        <f>"00000000"</f>
        <v>00000000</v>
      </c>
      <c r="I64" t="s">
        <v>39</v>
      </c>
      <c r="J64"/>
      <c r="K64">
        <v>423.73</v>
      </c>
      <c r="L64">
        <v>0.0</v>
      </c>
      <c r="M64"/>
      <c r="N64"/>
      <c r="O64">
        <v>76.27</v>
      </c>
      <c r="P64">
        <v>0.0</v>
      </c>
      <c r="Q64">
        <v>500.0</v>
      </c>
      <c r="R64"/>
      <c r="S64"/>
      <c r="T64"/>
      <c r="U64"/>
      <c r="V64"/>
      <c r="W64">
        <v>18</v>
      </c>
    </row>
    <row r="65" spans="1:23">
      <c r="A65"/>
      <c r="B65" t="s">
        <v>41</v>
      </c>
      <c r="C65" t="s">
        <v>41</v>
      </c>
      <c r="D65" t="s">
        <v>37</v>
      </c>
      <c r="E65" t="s">
        <v>38</v>
      </c>
      <c r="F65" t="str">
        <f>"0000180"</f>
        <v>0000180</v>
      </c>
      <c r="G65">
        <v>1</v>
      </c>
      <c r="H65" t="str">
        <f>"00000000"</f>
        <v>00000000</v>
      </c>
      <c r="I65" t="s">
        <v>39</v>
      </c>
      <c r="J65"/>
      <c r="K65">
        <v>317.8</v>
      </c>
      <c r="L65">
        <v>0.0</v>
      </c>
      <c r="M65"/>
      <c r="N65"/>
      <c r="O65">
        <v>57.2</v>
      </c>
      <c r="P65">
        <v>0.0</v>
      </c>
      <c r="Q65">
        <v>375.0</v>
      </c>
      <c r="R65"/>
      <c r="S65"/>
      <c r="T65"/>
      <c r="U65"/>
      <c r="V65"/>
      <c r="W65">
        <v>18</v>
      </c>
    </row>
    <row r="66" spans="1:23">
      <c r="A66"/>
      <c r="B66" t="s">
        <v>41</v>
      </c>
      <c r="C66" t="s">
        <v>41</v>
      </c>
      <c r="D66" t="s">
        <v>37</v>
      </c>
      <c r="E66" t="s">
        <v>38</v>
      </c>
      <c r="F66" t="str">
        <f>"0000181"</f>
        <v>0000181</v>
      </c>
      <c r="G66">
        <v>1</v>
      </c>
      <c r="H66" t="str">
        <f>"00000000"</f>
        <v>00000000</v>
      </c>
      <c r="I66" t="s">
        <v>39</v>
      </c>
      <c r="J66"/>
      <c r="K66">
        <v>296.61</v>
      </c>
      <c r="L66">
        <v>0.0</v>
      </c>
      <c r="M66"/>
      <c r="N66"/>
      <c r="O66">
        <v>53.39</v>
      </c>
      <c r="P66">
        <v>0.0</v>
      </c>
      <c r="Q66">
        <v>350.0</v>
      </c>
      <c r="R66"/>
      <c r="S66"/>
      <c r="T66"/>
      <c r="U66"/>
      <c r="V66"/>
      <c r="W66">
        <v>18</v>
      </c>
    </row>
    <row r="67" spans="1:23">
      <c r="A67"/>
      <c r="B67" t="s">
        <v>41</v>
      </c>
      <c r="C67" t="s">
        <v>41</v>
      </c>
      <c r="D67" t="s">
        <v>37</v>
      </c>
      <c r="E67" t="s">
        <v>38</v>
      </c>
      <c r="F67" t="str">
        <f>"0000182"</f>
        <v>0000182</v>
      </c>
      <c r="G67">
        <v>1</v>
      </c>
      <c r="H67" t="str">
        <f>"00000000"</f>
        <v>00000000</v>
      </c>
      <c r="I67" t="s">
        <v>39</v>
      </c>
      <c r="J67"/>
      <c r="K67">
        <v>177.97</v>
      </c>
      <c r="L67">
        <v>0.0</v>
      </c>
      <c r="M67"/>
      <c r="N67"/>
      <c r="O67">
        <v>32.03</v>
      </c>
      <c r="P67">
        <v>0.0</v>
      </c>
      <c r="Q67">
        <v>210.0</v>
      </c>
      <c r="R67"/>
      <c r="S67"/>
      <c r="T67"/>
      <c r="U67"/>
      <c r="V67"/>
      <c r="W67">
        <v>18</v>
      </c>
    </row>
    <row r="68" spans="1:23">
      <c r="A68"/>
      <c r="B68" t="s">
        <v>41</v>
      </c>
      <c r="C68" t="s">
        <v>41</v>
      </c>
      <c r="D68" t="s">
        <v>37</v>
      </c>
      <c r="E68" t="s">
        <v>38</v>
      </c>
      <c r="F68" t="str">
        <f>"0000183"</f>
        <v>0000183</v>
      </c>
      <c r="G68">
        <v>1</v>
      </c>
      <c r="H68" t="str">
        <f>"00000000"</f>
        <v>00000000</v>
      </c>
      <c r="I68" t="s">
        <v>39</v>
      </c>
      <c r="J68"/>
      <c r="K68">
        <v>296.61</v>
      </c>
      <c r="L68">
        <v>0.0</v>
      </c>
      <c r="M68"/>
      <c r="N68"/>
      <c r="O68">
        <v>53.39</v>
      </c>
      <c r="P68">
        <v>0.0</v>
      </c>
      <c r="Q68">
        <v>350.0</v>
      </c>
      <c r="R68"/>
      <c r="S68"/>
      <c r="T68"/>
      <c r="U68"/>
      <c r="V68"/>
      <c r="W68">
        <v>18</v>
      </c>
    </row>
    <row r="69" spans="1:23">
      <c r="A69"/>
      <c r="B69" t="s">
        <v>41</v>
      </c>
      <c r="C69" t="s">
        <v>41</v>
      </c>
      <c r="D69" t="s">
        <v>37</v>
      </c>
      <c r="E69" t="s">
        <v>38</v>
      </c>
      <c r="F69" t="str">
        <f>"0000184"</f>
        <v>0000184</v>
      </c>
      <c r="G69">
        <v>1</v>
      </c>
      <c r="H69" t="str">
        <f>"00000000"</f>
        <v>00000000</v>
      </c>
      <c r="I69" t="s">
        <v>39</v>
      </c>
      <c r="J69"/>
      <c r="K69">
        <v>326.27</v>
      </c>
      <c r="L69">
        <v>0.0</v>
      </c>
      <c r="M69"/>
      <c r="N69"/>
      <c r="O69">
        <v>58.73</v>
      </c>
      <c r="P69">
        <v>0.0</v>
      </c>
      <c r="Q69">
        <v>385.0</v>
      </c>
      <c r="R69"/>
      <c r="S69"/>
      <c r="T69"/>
      <c r="U69"/>
      <c r="V69"/>
      <c r="W69">
        <v>18</v>
      </c>
    </row>
    <row r="70" spans="1:23">
      <c r="A70"/>
      <c r="B70" t="s">
        <v>41</v>
      </c>
      <c r="C70" t="s">
        <v>41</v>
      </c>
      <c r="D70" t="s">
        <v>37</v>
      </c>
      <c r="E70" t="s">
        <v>38</v>
      </c>
      <c r="F70" t="str">
        <f>"0000185"</f>
        <v>0000185</v>
      </c>
      <c r="G70">
        <v>1</v>
      </c>
      <c r="H70" t="str">
        <f>"00000000"</f>
        <v>00000000</v>
      </c>
      <c r="I70" t="s">
        <v>39</v>
      </c>
      <c r="J70"/>
      <c r="K70">
        <v>415.25</v>
      </c>
      <c r="L70">
        <v>0.0</v>
      </c>
      <c r="M70"/>
      <c r="N70"/>
      <c r="O70">
        <v>74.75</v>
      </c>
      <c r="P70">
        <v>0.0</v>
      </c>
      <c r="Q70">
        <v>490.0</v>
      </c>
      <c r="R70"/>
      <c r="S70"/>
      <c r="T70"/>
      <c r="U70"/>
      <c r="V70"/>
      <c r="W70">
        <v>18</v>
      </c>
    </row>
    <row r="71" spans="1:23">
      <c r="A71"/>
      <c r="B71" t="s">
        <v>41</v>
      </c>
      <c r="C71" t="s">
        <v>41</v>
      </c>
      <c r="D71" t="s">
        <v>37</v>
      </c>
      <c r="E71" t="s">
        <v>38</v>
      </c>
      <c r="F71" t="str">
        <f>"0000186"</f>
        <v>0000186</v>
      </c>
      <c r="G71">
        <v>1</v>
      </c>
      <c r="H71" t="str">
        <f>"00000000"</f>
        <v>00000000</v>
      </c>
      <c r="I71" t="s">
        <v>39</v>
      </c>
      <c r="J71"/>
      <c r="K71">
        <v>322.03</v>
      </c>
      <c r="L71">
        <v>0.0</v>
      </c>
      <c r="M71"/>
      <c r="N71"/>
      <c r="O71">
        <v>57.97</v>
      </c>
      <c r="P71">
        <v>0.0</v>
      </c>
      <c r="Q71">
        <v>380.0</v>
      </c>
      <c r="R71"/>
      <c r="S71"/>
      <c r="T71"/>
      <c r="U71"/>
      <c r="V71"/>
      <c r="W71">
        <v>18</v>
      </c>
    </row>
    <row r="72" spans="1:23">
      <c r="A72"/>
      <c r="B72" t="s">
        <v>41</v>
      </c>
      <c r="C72" t="s">
        <v>41</v>
      </c>
      <c r="D72" t="s">
        <v>37</v>
      </c>
      <c r="E72" t="s">
        <v>38</v>
      </c>
      <c r="F72" t="str">
        <f>"0000187"</f>
        <v>0000187</v>
      </c>
      <c r="G72">
        <v>1</v>
      </c>
      <c r="H72" t="str">
        <f>"00000000"</f>
        <v>00000000</v>
      </c>
      <c r="I72" t="s">
        <v>39</v>
      </c>
      <c r="J72"/>
      <c r="K72">
        <v>296.61</v>
      </c>
      <c r="L72">
        <v>0.0</v>
      </c>
      <c r="M72"/>
      <c r="N72"/>
      <c r="O72">
        <v>53.39</v>
      </c>
      <c r="P72">
        <v>0.0</v>
      </c>
      <c r="Q72">
        <v>350.0</v>
      </c>
      <c r="R72"/>
      <c r="S72"/>
      <c r="T72"/>
      <c r="U72"/>
      <c r="V72"/>
      <c r="W72">
        <v>18</v>
      </c>
    </row>
    <row r="73" spans="1:23">
      <c r="A73"/>
      <c r="B73" t="s">
        <v>41</v>
      </c>
      <c r="C73" t="s">
        <v>41</v>
      </c>
      <c r="D73" t="s">
        <v>37</v>
      </c>
      <c r="E73" t="s">
        <v>38</v>
      </c>
      <c r="F73" t="str">
        <f>"0000188"</f>
        <v>0000188</v>
      </c>
      <c r="G73">
        <v>1</v>
      </c>
      <c r="H73" t="str">
        <f>"00000000"</f>
        <v>00000000</v>
      </c>
      <c r="I73" t="s">
        <v>39</v>
      </c>
      <c r="J73"/>
      <c r="K73">
        <v>326.27</v>
      </c>
      <c r="L73">
        <v>0.0</v>
      </c>
      <c r="M73"/>
      <c r="N73"/>
      <c r="O73">
        <v>58.73</v>
      </c>
      <c r="P73">
        <v>0.0</v>
      </c>
      <c r="Q73">
        <v>385.0</v>
      </c>
      <c r="R73"/>
      <c r="S73"/>
      <c r="T73"/>
      <c r="U73"/>
      <c r="V73"/>
      <c r="W73">
        <v>18</v>
      </c>
    </row>
    <row r="74" spans="1:23">
      <c r="A74"/>
      <c r="B74" t="s">
        <v>41</v>
      </c>
      <c r="C74" t="s">
        <v>41</v>
      </c>
      <c r="D74" t="s">
        <v>37</v>
      </c>
      <c r="E74" t="s">
        <v>38</v>
      </c>
      <c r="F74" t="str">
        <f>"0000189"</f>
        <v>0000189</v>
      </c>
      <c r="G74">
        <v>1</v>
      </c>
      <c r="H74" t="str">
        <f>"00000000"</f>
        <v>00000000</v>
      </c>
      <c r="I74" t="s">
        <v>39</v>
      </c>
      <c r="J74"/>
      <c r="K74">
        <v>322.03</v>
      </c>
      <c r="L74">
        <v>0.0</v>
      </c>
      <c r="M74"/>
      <c r="N74"/>
      <c r="O74">
        <v>57.97</v>
      </c>
      <c r="P74">
        <v>0.0</v>
      </c>
      <c r="Q74">
        <v>380.0</v>
      </c>
      <c r="R74"/>
      <c r="S74"/>
      <c r="T74"/>
      <c r="U74"/>
      <c r="V74"/>
      <c r="W74">
        <v>18</v>
      </c>
    </row>
    <row r="75" spans="1:23">
      <c r="A75"/>
      <c r="B75" t="s">
        <v>41</v>
      </c>
      <c r="C75" t="s">
        <v>41</v>
      </c>
      <c r="D75" t="s">
        <v>37</v>
      </c>
      <c r="E75" t="s">
        <v>38</v>
      </c>
      <c r="F75" t="str">
        <f>"0000190"</f>
        <v>0000190</v>
      </c>
      <c r="G75">
        <v>1</v>
      </c>
      <c r="H75" t="str">
        <f>"00000000"</f>
        <v>00000000</v>
      </c>
      <c r="I75" t="s">
        <v>39</v>
      </c>
      <c r="J75"/>
      <c r="K75">
        <v>177.97</v>
      </c>
      <c r="L75">
        <v>0.0</v>
      </c>
      <c r="M75"/>
      <c r="N75"/>
      <c r="O75">
        <v>32.03</v>
      </c>
      <c r="P75">
        <v>0.0</v>
      </c>
      <c r="Q75">
        <v>210.0</v>
      </c>
      <c r="R75"/>
      <c r="S75"/>
      <c r="T75"/>
      <c r="U75"/>
      <c r="V75"/>
      <c r="W75">
        <v>18</v>
      </c>
    </row>
    <row r="76" spans="1:23">
      <c r="A76"/>
      <c r="B76" t="s">
        <v>41</v>
      </c>
      <c r="C76" t="s">
        <v>41</v>
      </c>
      <c r="D76" t="s">
        <v>37</v>
      </c>
      <c r="E76" t="s">
        <v>38</v>
      </c>
      <c r="F76" t="str">
        <f>"0000191"</f>
        <v>0000191</v>
      </c>
      <c r="G76">
        <v>1</v>
      </c>
      <c r="H76" t="str">
        <f>"00000000"</f>
        <v>00000000</v>
      </c>
      <c r="I76" t="s">
        <v>39</v>
      </c>
      <c r="J76"/>
      <c r="K76">
        <v>338.98</v>
      </c>
      <c r="L76">
        <v>0.0</v>
      </c>
      <c r="M76"/>
      <c r="N76"/>
      <c r="O76">
        <v>61.02</v>
      </c>
      <c r="P76">
        <v>0.0</v>
      </c>
      <c r="Q76">
        <v>400.0</v>
      </c>
      <c r="R76"/>
      <c r="S76"/>
      <c r="T76"/>
      <c r="U76"/>
      <c r="V76"/>
      <c r="W76">
        <v>18</v>
      </c>
    </row>
    <row r="77" spans="1:23">
      <c r="A77"/>
      <c r="B77" t="s">
        <v>41</v>
      </c>
      <c r="C77" t="s">
        <v>41</v>
      </c>
      <c r="D77" t="s">
        <v>37</v>
      </c>
      <c r="E77" t="s">
        <v>38</v>
      </c>
      <c r="F77" t="str">
        <f>"0000192"</f>
        <v>0000192</v>
      </c>
      <c r="G77">
        <v>1</v>
      </c>
      <c r="H77" t="str">
        <f>"00000000"</f>
        <v>00000000</v>
      </c>
      <c r="I77" t="s">
        <v>39</v>
      </c>
      <c r="J77"/>
      <c r="K77">
        <v>207.63</v>
      </c>
      <c r="L77">
        <v>0.0</v>
      </c>
      <c r="M77"/>
      <c r="N77"/>
      <c r="O77">
        <v>37.37</v>
      </c>
      <c r="P77">
        <v>0.0</v>
      </c>
      <c r="Q77">
        <v>245.0</v>
      </c>
      <c r="R77"/>
      <c r="S77"/>
      <c r="T77"/>
      <c r="U77"/>
      <c r="V77"/>
      <c r="W77">
        <v>18</v>
      </c>
    </row>
    <row r="78" spans="1:23">
      <c r="A78"/>
      <c r="B78" t="s">
        <v>41</v>
      </c>
      <c r="C78" t="s">
        <v>41</v>
      </c>
      <c r="D78" t="s">
        <v>37</v>
      </c>
      <c r="E78" t="s">
        <v>38</v>
      </c>
      <c r="F78" t="str">
        <f>"0000193"</f>
        <v>0000193</v>
      </c>
      <c r="G78">
        <v>1</v>
      </c>
      <c r="H78" t="str">
        <f>"00000000"</f>
        <v>00000000</v>
      </c>
      <c r="I78" t="s">
        <v>39</v>
      </c>
      <c r="J78"/>
      <c r="K78">
        <v>220.34</v>
      </c>
      <c r="L78">
        <v>0.0</v>
      </c>
      <c r="M78"/>
      <c r="N78"/>
      <c r="O78">
        <v>39.66</v>
      </c>
      <c r="P78">
        <v>0.0</v>
      </c>
      <c r="Q78">
        <v>260.0</v>
      </c>
      <c r="R78"/>
      <c r="S78"/>
      <c r="T78"/>
      <c r="U78"/>
      <c r="V78"/>
      <c r="W78">
        <v>18</v>
      </c>
    </row>
    <row r="79" spans="1:23">
      <c r="A79"/>
      <c r="B79" t="s">
        <v>41</v>
      </c>
      <c r="C79" t="s">
        <v>41</v>
      </c>
      <c r="D79" t="s">
        <v>37</v>
      </c>
      <c r="E79" t="s">
        <v>38</v>
      </c>
      <c r="F79" t="str">
        <f>"0000194"</f>
        <v>0000194</v>
      </c>
      <c r="G79">
        <v>1</v>
      </c>
      <c r="H79" t="str">
        <f>"00000000"</f>
        <v>00000000</v>
      </c>
      <c r="I79" t="s">
        <v>39</v>
      </c>
      <c r="J79"/>
      <c r="K79">
        <v>211.86</v>
      </c>
      <c r="L79">
        <v>0.0</v>
      </c>
      <c r="M79"/>
      <c r="N79"/>
      <c r="O79">
        <v>38.14</v>
      </c>
      <c r="P79">
        <v>0.0</v>
      </c>
      <c r="Q79">
        <v>250.0</v>
      </c>
      <c r="R79"/>
      <c r="S79"/>
      <c r="T79"/>
      <c r="U79"/>
      <c r="V79"/>
      <c r="W79">
        <v>18</v>
      </c>
    </row>
    <row r="80" spans="1:23">
      <c r="A80"/>
      <c r="B80" t="s">
        <v>41</v>
      </c>
      <c r="C80" t="s">
        <v>41</v>
      </c>
      <c r="D80" t="s">
        <v>37</v>
      </c>
      <c r="E80" t="s">
        <v>38</v>
      </c>
      <c r="F80" t="str">
        <f>"0000195"</f>
        <v>0000195</v>
      </c>
      <c r="G80">
        <v>1</v>
      </c>
      <c r="H80" t="str">
        <f>"00000000"</f>
        <v>00000000</v>
      </c>
      <c r="I80" t="s">
        <v>39</v>
      </c>
      <c r="J80"/>
      <c r="K80">
        <v>190.68</v>
      </c>
      <c r="L80">
        <v>0.0</v>
      </c>
      <c r="M80"/>
      <c r="N80"/>
      <c r="O80">
        <v>34.32</v>
      </c>
      <c r="P80">
        <v>0.0</v>
      </c>
      <c r="Q80">
        <v>225.0</v>
      </c>
      <c r="R80"/>
      <c r="S80"/>
      <c r="T80"/>
      <c r="U80"/>
      <c r="V80"/>
      <c r="W80">
        <v>18</v>
      </c>
    </row>
    <row r="81" spans="1:23">
      <c r="A81"/>
      <c r="B81" t="s">
        <v>42</v>
      </c>
      <c r="C81" t="s">
        <v>42</v>
      </c>
      <c r="D81" t="s">
        <v>37</v>
      </c>
      <c r="E81" t="s">
        <v>38</v>
      </c>
      <c r="F81" t="str">
        <f>"0000196"</f>
        <v>0000196</v>
      </c>
      <c r="G81">
        <v>1</v>
      </c>
      <c r="H81" t="str">
        <f>"16792566"</f>
        <v>16792566</v>
      </c>
      <c r="I81" t="s">
        <v>43</v>
      </c>
      <c r="J81"/>
      <c r="K81">
        <v>748.31</v>
      </c>
      <c r="L81">
        <v>0.0</v>
      </c>
      <c r="M81"/>
      <c r="N81"/>
      <c r="O81">
        <v>134.69</v>
      </c>
      <c r="P81">
        <v>0.0</v>
      </c>
      <c r="Q81">
        <v>883.0</v>
      </c>
      <c r="R81"/>
      <c r="S81"/>
      <c r="T81"/>
      <c r="U81"/>
      <c r="V81"/>
      <c r="W81">
        <v>18</v>
      </c>
    </row>
    <row r="82" spans="1:23">
      <c r="A82"/>
      <c r="B82" t="s">
        <v>42</v>
      </c>
      <c r="C82" t="s">
        <v>42</v>
      </c>
      <c r="D82" t="s">
        <v>37</v>
      </c>
      <c r="E82" t="s">
        <v>38</v>
      </c>
      <c r="F82" t="str">
        <f>"0000197"</f>
        <v>0000197</v>
      </c>
      <c r="G82">
        <v>1</v>
      </c>
      <c r="H82" t="str">
        <f>"00000000"</f>
        <v>00000000</v>
      </c>
      <c r="I82" t="s">
        <v>39</v>
      </c>
      <c r="J82"/>
      <c r="K82">
        <v>322.03</v>
      </c>
      <c r="L82">
        <v>0.0</v>
      </c>
      <c r="M82"/>
      <c r="N82"/>
      <c r="O82">
        <v>57.97</v>
      </c>
      <c r="P82">
        <v>0.0</v>
      </c>
      <c r="Q82">
        <v>380.0</v>
      </c>
      <c r="R82"/>
      <c r="S82"/>
      <c r="T82"/>
      <c r="U82"/>
      <c r="V82"/>
      <c r="W82">
        <v>18</v>
      </c>
    </row>
    <row r="83" spans="1:23">
      <c r="A83"/>
      <c r="B83" t="s">
        <v>42</v>
      </c>
      <c r="C83" t="s">
        <v>42</v>
      </c>
      <c r="D83" t="s">
        <v>37</v>
      </c>
      <c r="E83" t="s">
        <v>38</v>
      </c>
      <c r="F83" t="str">
        <f>"0000198"</f>
        <v>0000198</v>
      </c>
      <c r="G83">
        <v>1</v>
      </c>
      <c r="H83" t="str">
        <f>"00000000"</f>
        <v>00000000</v>
      </c>
      <c r="I83" t="s">
        <v>39</v>
      </c>
      <c r="J83"/>
      <c r="K83">
        <v>254.24</v>
      </c>
      <c r="L83">
        <v>0.0</v>
      </c>
      <c r="M83"/>
      <c r="N83"/>
      <c r="O83">
        <v>45.76</v>
      </c>
      <c r="P83">
        <v>0.0</v>
      </c>
      <c r="Q83">
        <v>300.0</v>
      </c>
      <c r="R83"/>
      <c r="S83"/>
      <c r="T83"/>
      <c r="U83"/>
      <c r="V83"/>
      <c r="W83">
        <v>18</v>
      </c>
    </row>
    <row r="84" spans="1:23">
      <c r="A84"/>
      <c r="B84" t="s">
        <v>42</v>
      </c>
      <c r="C84" t="s">
        <v>42</v>
      </c>
      <c r="D84" t="s">
        <v>37</v>
      </c>
      <c r="E84" t="s">
        <v>38</v>
      </c>
      <c r="F84" t="str">
        <f>"0000199"</f>
        <v>0000199</v>
      </c>
      <c r="G84">
        <v>1</v>
      </c>
      <c r="H84" t="str">
        <f>"00000000"</f>
        <v>00000000</v>
      </c>
      <c r="I84" t="s">
        <v>39</v>
      </c>
      <c r="J84"/>
      <c r="K84">
        <v>296.61</v>
      </c>
      <c r="L84">
        <v>0.0</v>
      </c>
      <c r="M84"/>
      <c r="N84"/>
      <c r="O84">
        <v>53.39</v>
      </c>
      <c r="P84">
        <v>0.0</v>
      </c>
      <c r="Q84">
        <v>350.0</v>
      </c>
      <c r="R84"/>
      <c r="S84"/>
      <c r="T84"/>
      <c r="U84"/>
      <c r="V84"/>
      <c r="W84">
        <v>18</v>
      </c>
    </row>
    <row r="85" spans="1:23">
      <c r="A85"/>
      <c r="B85" t="s">
        <v>42</v>
      </c>
      <c r="C85" t="s">
        <v>42</v>
      </c>
      <c r="D85" t="s">
        <v>37</v>
      </c>
      <c r="E85" t="s">
        <v>38</v>
      </c>
      <c r="F85" t="str">
        <f>"0000200"</f>
        <v>0000200</v>
      </c>
      <c r="G85">
        <v>1</v>
      </c>
      <c r="H85" t="str">
        <f>"00000000"</f>
        <v>00000000</v>
      </c>
      <c r="I85" t="s">
        <v>39</v>
      </c>
      <c r="J85"/>
      <c r="K85">
        <v>296.61</v>
      </c>
      <c r="L85">
        <v>0.0</v>
      </c>
      <c r="M85"/>
      <c r="N85"/>
      <c r="O85">
        <v>53.39</v>
      </c>
      <c r="P85">
        <v>0.0</v>
      </c>
      <c r="Q85">
        <v>350.0</v>
      </c>
      <c r="R85"/>
      <c r="S85"/>
      <c r="T85"/>
      <c r="U85"/>
      <c r="V85"/>
      <c r="W85">
        <v>18</v>
      </c>
    </row>
    <row r="86" spans="1:23">
      <c r="A86"/>
      <c r="B86" t="s">
        <v>42</v>
      </c>
      <c r="C86" t="s">
        <v>42</v>
      </c>
      <c r="D86" t="s">
        <v>37</v>
      </c>
      <c r="E86" t="s">
        <v>38</v>
      </c>
      <c r="F86" t="str">
        <f>"0000201"</f>
        <v>0000201</v>
      </c>
      <c r="G86">
        <v>1</v>
      </c>
      <c r="H86" t="str">
        <f>"00000000"</f>
        <v>00000000</v>
      </c>
      <c r="I86" t="s">
        <v>39</v>
      </c>
      <c r="J86"/>
      <c r="K86">
        <v>360.17</v>
      </c>
      <c r="L86">
        <v>0.0</v>
      </c>
      <c r="M86"/>
      <c r="N86"/>
      <c r="O86">
        <v>64.83</v>
      </c>
      <c r="P86">
        <v>0.0</v>
      </c>
      <c r="Q86">
        <v>425.0</v>
      </c>
      <c r="R86"/>
      <c r="S86"/>
      <c r="T86"/>
      <c r="U86"/>
      <c r="V86"/>
      <c r="W86">
        <v>18</v>
      </c>
    </row>
    <row r="87" spans="1:23">
      <c r="A87"/>
      <c r="B87" t="s">
        <v>42</v>
      </c>
      <c r="C87" t="s">
        <v>42</v>
      </c>
      <c r="D87" t="s">
        <v>37</v>
      </c>
      <c r="E87" t="s">
        <v>38</v>
      </c>
      <c r="F87" t="str">
        <f>"0000202"</f>
        <v>0000202</v>
      </c>
      <c r="G87">
        <v>1</v>
      </c>
      <c r="H87" t="str">
        <f>"00000000"</f>
        <v>00000000</v>
      </c>
      <c r="I87" t="s">
        <v>39</v>
      </c>
      <c r="J87"/>
      <c r="K87">
        <v>296.61</v>
      </c>
      <c r="L87">
        <v>0.0</v>
      </c>
      <c r="M87"/>
      <c r="N87"/>
      <c r="O87">
        <v>53.39</v>
      </c>
      <c r="P87">
        <v>0.0</v>
      </c>
      <c r="Q87">
        <v>350.0</v>
      </c>
      <c r="R87"/>
      <c r="S87"/>
      <c r="T87"/>
      <c r="U87"/>
      <c r="V87"/>
      <c r="W87">
        <v>18</v>
      </c>
    </row>
    <row r="88" spans="1:23">
      <c r="A88"/>
      <c r="B88" t="s">
        <v>42</v>
      </c>
      <c r="C88" t="s">
        <v>42</v>
      </c>
      <c r="D88" t="s">
        <v>37</v>
      </c>
      <c r="E88" t="s">
        <v>38</v>
      </c>
      <c r="F88" t="str">
        <f>"0000203"</f>
        <v>0000203</v>
      </c>
      <c r="G88">
        <v>1</v>
      </c>
      <c r="H88" t="str">
        <f>"00000000"</f>
        <v>00000000</v>
      </c>
      <c r="I88" t="s">
        <v>39</v>
      </c>
      <c r="J88"/>
      <c r="K88">
        <v>271.19</v>
      </c>
      <c r="L88">
        <v>0.0</v>
      </c>
      <c r="M88"/>
      <c r="N88"/>
      <c r="O88">
        <v>48.81</v>
      </c>
      <c r="P88">
        <v>0.0</v>
      </c>
      <c r="Q88">
        <v>320.0</v>
      </c>
      <c r="R88"/>
      <c r="S88"/>
      <c r="T88"/>
      <c r="U88"/>
      <c r="V88"/>
      <c r="W88">
        <v>18</v>
      </c>
    </row>
    <row r="89" spans="1:23">
      <c r="A89"/>
      <c r="B89" t="s">
        <v>42</v>
      </c>
      <c r="C89" t="s">
        <v>42</v>
      </c>
      <c r="D89" t="s">
        <v>37</v>
      </c>
      <c r="E89" t="s">
        <v>38</v>
      </c>
      <c r="F89" t="str">
        <f>"0000204"</f>
        <v>0000204</v>
      </c>
      <c r="G89">
        <v>1</v>
      </c>
      <c r="H89" t="str">
        <f>"00000000"</f>
        <v>00000000</v>
      </c>
      <c r="I89" t="s">
        <v>39</v>
      </c>
      <c r="J89"/>
      <c r="K89">
        <v>355.93</v>
      </c>
      <c r="L89">
        <v>0.0</v>
      </c>
      <c r="M89"/>
      <c r="N89"/>
      <c r="O89">
        <v>64.07</v>
      </c>
      <c r="P89">
        <v>0.0</v>
      </c>
      <c r="Q89">
        <v>420.0</v>
      </c>
      <c r="R89"/>
      <c r="S89"/>
      <c r="T89"/>
      <c r="U89"/>
      <c r="V89"/>
      <c r="W89">
        <v>18</v>
      </c>
    </row>
    <row r="90" spans="1:23">
      <c r="A90"/>
      <c r="B90" t="s">
        <v>42</v>
      </c>
      <c r="C90" t="s">
        <v>42</v>
      </c>
      <c r="D90" t="s">
        <v>37</v>
      </c>
      <c r="E90" t="s">
        <v>38</v>
      </c>
      <c r="F90" t="str">
        <f>"0000205"</f>
        <v>0000205</v>
      </c>
      <c r="G90">
        <v>1</v>
      </c>
      <c r="H90" t="str">
        <f>"00000000"</f>
        <v>00000000</v>
      </c>
      <c r="I90" t="s">
        <v>39</v>
      </c>
      <c r="J90"/>
      <c r="K90">
        <v>254.24</v>
      </c>
      <c r="L90">
        <v>0.0</v>
      </c>
      <c r="M90"/>
      <c r="N90"/>
      <c r="O90">
        <v>45.76</v>
      </c>
      <c r="P90">
        <v>0.0</v>
      </c>
      <c r="Q90">
        <v>300.0</v>
      </c>
      <c r="R90"/>
      <c r="S90"/>
      <c r="T90"/>
      <c r="U90"/>
      <c r="V90"/>
      <c r="W90">
        <v>18</v>
      </c>
    </row>
    <row r="91" spans="1:23">
      <c r="A91"/>
      <c r="B91" t="s">
        <v>42</v>
      </c>
      <c r="C91" t="s">
        <v>42</v>
      </c>
      <c r="D91" t="s">
        <v>37</v>
      </c>
      <c r="E91" t="s">
        <v>38</v>
      </c>
      <c r="F91" t="str">
        <f>"0000206"</f>
        <v>0000206</v>
      </c>
      <c r="G91">
        <v>1</v>
      </c>
      <c r="H91" t="str">
        <f>"00000000"</f>
        <v>00000000</v>
      </c>
      <c r="I91" t="s">
        <v>39</v>
      </c>
      <c r="J91"/>
      <c r="K91">
        <v>220.34</v>
      </c>
      <c r="L91">
        <v>0.0</v>
      </c>
      <c r="M91"/>
      <c r="N91"/>
      <c r="O91">
        <v>39.66</v>
      </c>
      <c r="P91">
        <v>0.0</v>
      </c>
      <c r="Q91">
        <v>260.0</v>
      </c>
      <c r="R91"/>
      <c r="S91"/>
      <c r="T91"/>
      <c r="U91"/>
      <c r="V91"/>
      <c r="W91">
        <v>18</v>
      </c>
    </row>
    <row r="92" spans="1:23">
      <c r="A92"/>
      <c r="B92" t="s">
        <v>42</v>
      </c>
      <c r="C92" t="s">
        <v>42</v>
      </c>
      <c r="D92" t="s">
        <v>37</v>
      </c>
      <c r="E92" t="s">
        <v>38</v>
      </c>
      <c r="F92" t="str">
        <f>"0000207"</f>
        <v>0000207</v>
      </c>
      <c r="G92">
        <v>1</v>
      </c>
      <c r="H92" t="str">
        <f>"00000000"</f>
        <v>00000000</v>
      </c>
      <c r="I92" t="s">
        <v>39</v>
      </c>
      <c r="J92"/>
      <c r="K92">
        <v>406.78</v>
      </c>
      <c r="L92">
        <v>0.0</v>
      </c>
      <c r="M92"/>
      <c r="N92"/>
      <c r="O92">
        <v>73.22</v>
      </c>
      <c r="P92">
        <v>0.0</v>
      </c>
      <c r="Q92">
        <v>480.0</v>
      </c>
      <c r="R92"/>
      <c r="S92"/>
      <c r="T92"/>
      <c r="U92"/>
      <c r="V92"/>
      <c r="W92">
        <v>18</v>
      </c>
    </row>
    <row r="93" spans="1:23">
      <c r="A93"/>
      <c r="B93" t="s">
        <v>42</v>
      </c>
      <c r="C93" t="s">
        <v>42</v>
      </c>
      <c r="D93" t="s">
        <v>37</v>
      </c>
      <c r="E93" t="s">
        <v>38</v>
      </c>
      <c r="F93" t="str">
        <f>"0000208"</f>
        <v>0000208</v>
      </c>
      <c r="G93">
        <v>1</v>
      </c>
      <c r="H93" t="str">
        <f>"00000000"</f>
        <v>00000000</v>
      </c>
      <c r="I93" t="s">
        <v>39</v>
      </c>
      <c r="J93"/>
      <c r="K93">
        <v>182.2</v>
      </c>
      <c r="L93">
        <v>0.0</v>
      </c>
      <c r="M93"/>
      <c r="N93"/>
      <c r="O93">
        <v>32.8</v>
      </c>
      <c r="P93">
        <v>0.0</v>
      </c>
      <c r="Q93">
        <v>215.0</v>
      </c>
      <c r="R93"/>
      <c r="S93"/>
      <c r="T93"/>
      <c r="U93"/>
      <c r="V93"/>
      <c r="W93">
        <v>18</v>
      </c>
    </row>
    <row r="94" spans="1:23">
      <c r="A94"/>
      <c r="B94" t="s">
        <v>42</v>
      </c>
      <c r="C94" t="s">
        <v>42</v>
      </c>
      <c r="D94" t="s">
        <v>37</v>
      </c>
      <c r="E94" t="s">
        <v>38</v>
      </c>
      <c r="F94" t="str">
        <f>"0000209"</f>
        <v>0000209</v>
      </c>
      <c r="G94">
        <v>1</v>
      </c>
      <c r="H94" t="str">
        <f>"00000000"</f>
        <v>00000000</v>
      </c>
      <c r="I94" t="s">
        <v>39</v>
      </c>
      <c r="J94"/>
      <c r="K94">
        <v>406.78</v>
      </c>
      <c r="L94">
        <v>0.0</v>
      </c>
      <c r="M94"/>
      <c r="N94"/>
      <c r="O94">
        <v>73.22</v>
      </c>
      <c r="P94">
        <v>0.0</v>
      </c>
      <c r="Q94">
        <v>480.0</v>
      </c>
      <c r="R94"/>
      <c r="S94"/>
      <c r="T94"/>
      <c r="U94"/>
      <c r="V94"/>
      <c r="W94">
        <v>18</v>
      </c>
    </row>
    <row r="95" spans="1:23">
      <c r="A95"/>
      <c r="B95" t="s">
        <v>42</v>
      </c>
      <c r="C95" t="s">
        <v>42</v>
      </c>
      <c r="D95" t="s">
        <v>37</v>
      </c>
      <c r="E95" t="s">
        <v>38</v>
      </c>
      <c r="F95" t="str">
        <f>"0000210"</f>
        <v>0000210</v>
      </c>
      <c r="G95">
        <v>1</v>
      </c>
      <c r="H95" t="str">
        <f>"00000000"</f>
        <v>00000000</v>
      </c>
      <c r="I95" t="s">
        <v>39</v>
      </c>
      <c r="J95"/>
      <c r="K95">
        <v>317.8</v>
      </c>
      <c r="L95">
        <v>0.0</v>
      </c>
      <c r="M95"/>
      <c r="N95"/>
      <c r="O95">
        <v>57.2</v>
      </c>
      <c r="P95">
        <v>0.0</v>
      </c>
      <c r="Q95">
        <v>375.0</v>
      </c>
      <c r="R95"/>
      <c r="S95"/>
      <c r="T95"/>
      <c r="U95"/>
      <c r="V95"/>
      <c r="W95">
        <v>18</v>
      </c>
    </row>
    <row r="96" spans="1:23">
      <c r="A96"/>
      <c r="B96" t="s">
        <v>42</v>
      </c>
      <c r="C96" t="s">
        <v>42</v>
      </c>
      <c r="D96" t="s">
        <v>37</v>
      </c>
      <c r="E96" t="s">
        <v>38</v>
      </c>
      <c r="F96" t="str">
        <f>"0000211"</f>
        <v>0000211</v>
      </c>
      <c r="G96">
        <v>1</v>
      </c>
      <c r="H96" t="str">
        <f>"00000000"</f>
        <v>00000000</v>
      </c>
      <c r="I96" t="s">
        <v>39</v>
      </c>
      <c r="J96"/>
      <c r="K96">
        <v>296.61</v>
      </c>
      <c r="L96">
        <v>0.0</v>
      </c>
      <c r="M96"/>
      <c r="N96"/>
      <c r="O96">
        <v>53.39</v>
      </c>
      <c r="P96">
        <v>0.0</v>
      </c>
      <c r="Q96">
        <v>350.0</v>
      </c>
      <c r="R96"/>
      <c r="S96"/>
      <c r="T96"/>
      <c r="U96"/>
      <c r="V96"/>
      <c r="W96">
        <v>18</v>
      </c>
    </row>
    <row r="97" spans="1:23">
      <c r="A97"/>
      <c r="B97" t="s">
        <v>42</v>
      </c>
      <c r="C97" t="s">
        <v>42</v>
      </c>
      <c r="D97" t="s">
        <v>37</v>
      </c>
      <c r="E97" t="s">
        <v>38</v>
      </c>
      <c r="F97" t="str">
        <f>"0000212"</f>
        <v>0000212</v>
      </c>
      <c r="G97">
        <v>1</v>
      </c>
      <c r="H97" t="str">
        <f>"00000000"</f>
        <v>00000000</v>
      </c>
      <c r="I97" t="s">
        <v>39</v>
      </c>
      <c r="J97"/>
      <c r="K97">
        <v>296.61</v>
      </c>
      <c r="L97">
        <v>0.0</v>
      </c>
      <c r="M97"/>
      <c r="N97"/>
      <c r="O97">
        <v>53.39</v>
      </c>
      <c r="P97">
        <v>0.0</v>
      </c>
      <c r="Q97">
        <v>350.0</v>
      </c>
      <c r="R97"/>
      <c r="S97"/>
      <c r="T97"/>
      <c r="U97"/>
      <c r="V97"/>
      <c r="W97">
        <v>18</v>
      </c>
    </row>
    <row r="98" spans="1:23">
      <c r="A98"/>
      <c r="B98" t="s">
        <v>42</v>
      </c>
      <c r="C98" t="s">
        <v>42</v>
      </c>
      <c r="D98" t="s">
        <v>37</v>
      </c>
      <c r="E98" t="s">
        <v>38</v>
      </c>
      <c r="F98" t="str">
        <f>"0000213"</f>
        <v>0000213</v>
      </c>
      <c r="G98">
        <v>1</v>
      </c>
      <c r="H98" t="str">
        <f>"00000000"</f>
        <v>00000000</v>
      </c>
      <c r="I98" t="s">
        <v>39</v>
      </c>
      <c r="J98"/>
      <c r="K98">
        <v>406.78</v>
      </c>
      <c r="L98">
        <v>0.0</v>
      </c>
      <c r="M98"/>
      <c r="N98"/>
      <c r="O98">
        <v>73.22</v>
      </c>
      <c r="P98">
        <v>0.0</v>
      </c>
      <c r="Q98">
        <v>480.0</v>
      </c>
      <c r="R98"/>
      <c r="S98"/>
      <c r="T98"/>
      <c r="U98"/>
      <c r="V98"/>
      <c r="W98">
        <v>18</v>
      </c>
    </row>
    <row r="99" spans="1:23">
      <c r="A99"/>
      <c r="B99" t="s">
        <v>42</v>
      </c>
      <c r="C99" t="s">
        <v>42</v>
      </c>
      <c r="D99" t="s">
        <v>37</v>
      </c>
      <c r="E99" t="s">
        <v>38</v>
      </c>
      <c r="F99" t="str">
        <f>"0000214"</f>
        <v>0000214</v>
      </c>
      <c r="G99">
        <v>1</v>
      </c>
      <c r="H99" t="str">
        <f>"00000000"</f>
        <v>00000000</v>
      </c>
      <c r="I99" t="s">
        <v>39</v>
      </c>
      <c r="J99"/>
      <c r="K99">
        <v>296.61</v>
      </c>
      <c r="L99">
        <v>0.0</v>
      </c>
      <c r="M99"/>
      <c r="N99"/>
      <c r="O99">
        <v>53.39</v>
      </c>
      <c r="P99">
        <v>0.0</v>
      </c>
      <c r="Q99">
        <v>350.0</v>
      </c>
      <c r="R99"/>
      <c r="S99"/>
      <c r="T99"/>
      <c r="U99"/>
      <c r="V99"/>
      <c r="W99">
        <v>18</v>
      </c>
    </row>
    <row r="100" spans="1:23">
      <c r="A100"/>
      <c r="B100" t="s">
        <v>42</v>
      </c>
      <c r="C100" t="s">
        <v>42</v>
      </c>
      <c r="D100" t="s">
        <v>37</v>
      </c>
      <c r="E100" t="s">
        <v>38</v>
      </c>
      <c r="F100" t="str">
        <f>"0000215"</f>
        <v>0000215</v>
      </c>
      <c r="G100">
        <v>1</v>
      </c>
      <c r="H100" t="str">
        <f>"00000000"</f>
        <v>00000000</v>
      </c>
      <c r="I100" t="s">
        <v>39</v>
      </c>
      <c r="J100"/>
      <c r="K100">
        <v>338.98</v>
      </c>
      <c r="L100">
        <v>0.0</v>
      </c>
      <c r="M100"/>
      <c r="N100"/>
      <c r="O100">
        <v>61.02</v>
      </c>
      <c r="P100">
        <v>0.0</v>
      </c>
      <c r="Q100">
        <v>400.0</v>
      </c>
      <c r="R100"/>
      <c r="S100"/>
      <c r="T100"/>
      <c r="U100"/>
      <c r="V100"/>
      <c r="W100">
        <v>18</v>
      </c>
    </row>
    <row r="101" spans="1:23">
      <c r="A101"/>
      <c r="B101" t="s">
        <v>42</v>
      </c>
      <c r="C101" t="s">
        <v>42</v>
      </c>
      <c r="D101" t="s">
        <v>37</v>
      </c>
      <c r="E101" t="s">
        <v>38</v>
      </c>
      <c r="F101" t="str">
        <f>"0000216"</f>
        <v>0000216</v>
      </c>
      <c r="G101">
        <v>1</v>
      </c>
      <c r="H101" t="str">
        <f>"00000000"</f>
        <v>00000000</v>
      </c>
      <c r="I101" t="s">
        <v>39</v>
      </c>
      <c r="J101"/>
      <c r="K101">
        <v>279.66</v>
      </c>
      <c r="L101">
        <v>0.0</v>
      </c>
      <c r="M101"/>
      <c r="N101"/>
      <c r="O101">
        <v>50.34</v>
      </c>
      <c r="P101">
        <v>0.0</v>
      </c>
      <c r="Q101">
        <v>330.0</v>
      </c>
      <c r="R101"/>
      <c r="S101"/>
      <c r="T101"/>
      <c r="U101"/>
      <c r="V101"/>
      <c r="W101">
        <v>18</v>
      </c>
    </row>
    <row r="102" spans="1:23">
      <c r="A102"/>
      <c r="B102" t="s">
        <v>42</v>
      </c>
      <c r="C102" t="s">
        <v>42</v>
      </c>
      <c r="D102" t="s">
        <v>37</v>
      </c>
      <c r="E102" t="s">
        <v>38</v>
      </c>
      <c r="F102" t="str">
        <f>"0000217"</f>
        <v>0000217</v>
      </c>
      <c r="G102">
        <v>1</v>
      </c>
      <c r="H102" t="str">
        <f>"00000000"</f>
        <v>00000000</v>
      </c>
      <c r="I102" t="s">
        <v>39</v>
      </c>
      <c r="J102"/>
      <c r="K102">
        <v>296.61</v>
      </c>
      <c r="L102">
        <v>0.0</v>
      </c>
      <c r="M102"/>
      <c r="N102"/>
      <c r="O102">
        <v>53.39</v>
      </c>
      <c r="P102">
        <v>0.0</v>
      </c>
      <c r="Q102">
        <v>350.0</v>
      </c>
      <c r="R102"/>
      <c r="S102"/>
      <c r="T102"/>
      <c r="U102"/>
      <c r="V102"/>
      <c r="W102">
        <v>18</v>
      </c>
    </row>
    <row r="103" spans="1:23">
      <c r="A103"/>
      <c r="B103" t="s">
        <v>42</v>
      </c>
      <c r="C103" t="s">
        <v>42</v>
      </c>
      <c r="D103" t="s">
        <v>37</v>
      </c>
      <c r="E103" t="s">
        <v>38</v>
      </c>
      <c r="F103" t="str">
        <f>"0000218"</f>
        <v>0000218</v>
      </c>
      <c r="G103">
        <v>1</v>
      </c>
      <c r="H103" t="str">
        <f>"00000000"</f>
        <v>00000000</v>
      </c>
      <c r="I103" t="s">
        <v>39</v>
      </c>
      <c r="J103"/>
      <c r="K103">
        <v>372.88</v>
      </c>
      <c r="L103">
        <v>0.0</v>
      </c>
      <c r="M103"/>
      <c r="N103"/>
      <c r="O103">
        <v>67.12</v>
      </c>
      <c r="P103">
        <v>0.0</v>
      </c>
      <c r="Q103">
        <v>440.0</v>
      </c>
      <c r="R103"/>
      <c r="S103"/>
      <c r="T103"/>
      <c r="U103"/>
      <c r="V103"/>
      <c r="W103">
        <v>18</v>
      </c>
    </row>
    <row r="104" spans="1:23">
      <c r="A104"/>
      <c r="B104" t="s">
        <v>44</v>
      </c>
      <c r="C104" t="s">
        <v>44</v>
      </c>
      <c r="D104" t="s">
        <v>37</v>
      </c>
      <c r="E104" t="s">
        <v>38</v>
      </c>
      <c r="F104" t="str">
        <f>"0000219"</f>
        <v>0000219</v>
      </c>
      <c r="G104">
        <v>1</v>
      </c>
      <c r="H104" t="str">
        <f>"00000000"</f>
        <v>00000000</v>
      </c>
      <c r="I104" t="s">
        <v>39</v>
      </c>
      <c r="J104"/>
      <c r="K104">
        <v>254.24</v>
      </c>
      <c r="L104">
        <v>0.0</v>
      </c>
      <c r="M104"/>
      <c r="N104"/>
      <c r="O104">
        <v>45.76</v>
      </c>
      <c r="P104">
        <v>0.0</v>
      </c>
      <c r="Q104">
        <v>300.0</v>
      </c>
      <c r="R104"/>
      <c r="S104"/>
      <c r="T104"/>
      <c r="U104"/>
      <c r="V104"/>
      <c r="W104">
        <v>18</v>
      </c>
    </row>
    <row r="105" spans="1:23">
      <c r="A105"/>
      <c r="B105" t="s">
        <v>44</v>
      </c>
      <c r="C105" t="s">
        <v>44</v>
      </c>
      <c r="D105" t="s">
        <v>37</v>
      </c>
      <c r="E105" t="s">
        <v>38</v>
      </c>
      <c r="F105" t="str">
        <f>"0000220"</f>
        <v>0000220</v>
      </c>
      <c r="G105">
        <v>1</v>
      </c>
      <c r="H105" t="str">
        <f>"00000000"</f>
        <v>00000000</v>
      </c>
      <c r="I105" t="s">
        <v>39</v>
      </c>
      <c r="J105"/>
      <c r="K105">
        <v>377.12</v>
      </c>
      <c r="L105">
        <v>0.0</v>
      </c>
      <c r="M105"/>
      <c r="N105"/>
      <c r="O105">
        <v>67.88</v>
      </c>
      <c r="P105">
        <v>0.0</v>
      </c>
      <c r="Q105">
        <v>445.0</v>
      </c>
      <c r="R105"/>
      <c r="S105"/>
      <c r="T105"/>
      <c r="U105"/>
      <c r="V105"/>
      <c r="W105">
        <v>18</v>
      </c>
    </row>
    <row r="106" spans="1:23">
      <c r="A106"/>
      <c r="B106" t="s">
        <v>44</v>
      </c>
      <c r="C106" t="s">
        <v>44</v>
      </c>
      <c r="D106" t="s">
        <v>37</v>
      </c>
      <c r="E106" t="s">
        <v>38</v>
      </c>
      <c r="F106" t="str">
        <f>"0000221"</f>
        <v>0000221</v>
      </c>
      <c r="G106">
        <v>1</v>
      </c>
      <c r="H106" t="str">
        <f>"00000000"</f>
        <v>00000000</v>
      </c>
      <c r="I106" t="s">
        <v>39</v>
      </c>
      <c r="J106"/>
      <c r="K106">
        <v>296.61</v>
      </c>
      <c r="L106">
        <v>0.0</v>
      </c>
      <c r="M106"/>
      <c r="N106"/>
      <c r="O106">
        <v>53.39</v>
      </c>
      <c r="P106">
        <v>0.0</v>
      </c>
      <c r="Q106">
        <v>350.0</v>
      </c>
      <c r="R106"/>
      <c r="S106"/>
      <c r="T106"/>
      <c r="U106"/>
      <c r="V106"/>
      <c r="W106">
        <v>18</v>
      </c>
    </row>
    <row r="107" spans="1:23">
      <c r="A107"/>
      <c r="B107" t="s">
        <v>44</v>
      </c>
      <c r="C107" t="s">
        <v>44</v>
      </c>
      <c r="D107" t="s">
        <v>37</v>
      </c>
      <c r="E107" t="s">
        <v>38</v>
      </c>
      <c r="F107" t="str">
        <f>"0000222"</f>
        <v>0000222</v>
      </c>
      <c r="G107">
        <v>1</v>
      </c>
      <c r="H107" t="str">
        <f>"00000000"</f>
        <v>00000000</v>
      </c>
      <c r="I107" t="s">
        <v>39</v>
      </c>
      <c r="J107"/>
      <c r="K107">
        <v>177.97</v>
      </c>
      <c r="L107">
        <v>0.0</v>
      </c>
      <c r="M107"/>
      <c r="N107"/>
      <c r="O107">
        <v>32.03</v>
      </c>
      <c r="P107">
        <v>0.0</v>
      </c>
      <c r="Q107">
        <v>210.0</v>
      </c>
      <c r="R107"/>
      <c r="S107"/>
      <c r="T107"/>
      <c r="U107"/>
      <c r="V107"/>
      <c r="W107">
        <v>18</v>
      </c>
    </row>
    <row r="108" spans="1:23">
      <c r="A108"/>
      <c r="B108" t="s">
        <v>44</v>
      </c>
      <c r="C108" t="s">
        <v>44</v>
      </c>
      <c r="D108" t="s">
        <v>37</v>
      </c>
      <c r="E108" t="s">
        <v>38</v>
      </c>
      <c r="F108" t="str">
        <f>"0000223"</f>
        <v>0000223</v>
      </c>
      <c r="G108">
        <v>1</v>
      </c>
      <c r="H108" t="str">
        <f>"00000000"</f>
        <v>00000000</v>
      </c>
      <c r="I108" t="s">
        <v>39</v>
      </c>
      <c r="J108"/>
      <c r="K108">
        <v>338.98</v>
      </c>
      <c r="L108">
        <v>0.0</v>
      </c>
      <c r="M108"/>
      <c r="N108"/>
      <c r="O108">
        <v>61.02</v>
      </c>
      <c r="P108">
        <v>0.0</v>
      </c>
      <c r="Q108">
        <v>400.0</v>
      </c>
      <c r="R108"/>
      <c r="S108"/>
      <c r="T108"/>
      <c r="U108"/>
      <c r="V108"/>
      <c r="W108">
        <v>18</v>
      </c>
    </row>
    <row r="109" spans="1:23">
      <c r="A109"/>
      <c r="B109" t="s">
        <v>44</v>
      </c>
      <c r="C109" t="s">
        <v>44</v>
      </c>
      <c r="D109" t="s">
        <v>37</v>
      </c>
      <c r="E109" t="s">
        <v>38</v>
      </c>
      <c r="F109" t="str">
        <f>"0000224"</f>
        <v>0000224</v>
      </c>
      <c r="G109">
        <v>1</v>
      </c>
      <c r="H109" t="str">
        <f>"00000000"</f>
        <v>00000000</v>
      </c>
      <c r="I109" t="s">
        <v>39</v>
      </c>
      <c r="J109"/>
      <c r="K109">
        <v>398.31</v>
      </c>
      <c r="L109">
        <v>0.0</v>
      </c>
      <c r="M109"/>
      <c r="N109"/>
      <c r="O109">
        <v>71.69</v>
      </c>
      <c r="P109">
        <v>0.0</v>
      </c>
      <c r="Q109">
        <v>470.0</v>
      </c>
      <c r="R109"/>
      <c r="S109"/>
      <c r="T109"/>
      <c r="U109"/>
      <c r="V109"/>
      <c r="W109">
        <v>18</v>
      </c>
    </row>
    <row r="110" spans="1:23">
      <c r="A110"/>
      <c r="B110" t="s">
        <v>44</v>
      </c>
      <c r="C110" t="s">
        <v>44</v>
      </c>
      <c r="D110" t="s">
        <v>37</v>
      </c>
      <c r="E110" t="s">
        <v>38</v>
      </c>
      <c r="F110" t="str">
        <f>"0000225"</f>
        <v>0000225</v>
      </c>
      <c r="G110">
        <v>1</v>
      </c>
      <c r="H110" t="str">
        <f>"00000000"</f>
        <v>00000000</v>
      </c>
      <c r="I110" t="s">
        <v>39</v>
      </c>
      <c r="J110"/>
      <c r="K110">
        <v>186.44</v>
      </c>
      <c r="L110">
        <v>0.0</v>
      </c>
      <c r="M110"/>
      <c r="N110"/>
      <c r="O110">
        <v>33.56</v>
      </c>
      <c r="P110">
        <v>0.0</v>
      </c>
      <c r="Q110">
        <v>220.0</v>
      </c>
      <c r="R110"/>
      <c r="S110"/>
      <c r="T110"/>
      <c r="U110"/>
      <c r="V110"/>
      <c r="W110">
        <v>18</v>
      </c>
    </row>
    <row r="111" spans="1:23">
      <c r="A111"/>
      <c r="B111" t="s">
        <v>44</v>
      </c>
      <c r="C111" t="s">
        <v>44</v>
      </c>
      <c r="D111" t="s">
        <v>37</v>
      </c>
      <c r="E111" t="s">
        <v>38</v>
      </c>
      <c r="F111" t="str">
        <f>"0000226"</f>
        <v>0000226</v>
      </c>
      <c r="G111">
        <v>1</v>
      </c>
      <c r="H111" t="str">
        <f>"00000000"</f>
        <v>00000000</v>
      </c>
      <c r="I111" t="s">
        <v>39</v>
      </c>
      <c r="J111"/>
      <c r="K111">
        <v>296.61</v>
      </c>
      <c r="L111">
        <v>0.0</v>
      </c>
      <c r="M111"/>
      <c r="N111"/>
      <c r="O111">
        <v>53.39</v>
      </c>
      <c r="P111">
        <v>0.0</v>
      </c>
      <c r="Q111">
        <v>350.0</v>
      </c>
      <c r="R111"/>
      <c r="S111"/>
      <c r="T111"/>
      <c r="U111"/>
      <c r="V111"/>
      <c r="W111">
        <v>18</v>
      </c>
    </row>
    <row r="112" spans="1:23">
      <c r="A112"/>
      <c r="B112" t="s">
        <v>44</v>
      </c>
      <c r="C112" t="s">
        <v>44</v>
      </c>
      <c r="D112" t="s">
        <v>37</v>
      </c>
      <c r="E112" t="s">
        <v>38</v>
      </c>
      <c r="F112" t="str">
        <f>"0000227"</f>
        <v>0000227</v>
      </c>
      <c r="G112">
        <v>1</v>
      </c>
      <c r="H112" t="str">
        <f>"00000000"</f>
        <v>00000000</v>
      </c>
      <c r="I112" t="s">
        <v>39</v>
      </c>
      <c r="J112"/>
      <c r="K112">
        <v>237.29</v>
      </c>
      <c r="L112">
        <v>0.0</v>
      </c>
      <c r="M112"/>
      <c r="N112"/>
      <c r="O112">
        <v>42.71</v>
      </c>
      <c r="P112">
        <v>0.0</v>
      </c>
      <c r="Q112">
        <v>280.0</v>
      </c>
      <c r="R112"/>
      <c r="S112"/>
      <c r="T112"/>
      <c r="U112"/>
      <c r="V112"/>
      <c r="W112">
        <v>18</v>
      </c>
    </row>
    <row r="113" spans="1:23">
      <c r="A113"/>
      <c r="B113" t="s">
        <v>44</v>
      </c>
      <c r="C113" t="s">
        <v>44</v>
      </c>
      <c r="D113" t="s">
        <v>37</v>
      </c>
      <c r="E113" t="s">
        <v>38</v>
      </c>
      <c r="F113" t="str">
        <f>"0000228"</f>
        <v>0000228</v>
      </c>
      <c r="G113">
        <v>1</v>
      </c>
      <c r="H113" t="str">
        <f>"00000000"</f>
        <v>00000000</v>
      </c>
      <c r="I113" t="s">
        <v>39</v>
      </c>
      <c r="J113"/>
      <c r="K113">
        <v>237.29</v>
      </c>
      <c r="L113">
        <v>0.0</v>
      </c>
      <c r="M113"/>
      <c r="N113"/>
      <c r="O113">
        <v>42.71</v>
      </c>
      <c r="P113">
        <v>0.0</v>
      </c>
      <c r="Q113">
        <v>280.0</v>
      </c>
      <c r="R113"/>
      <c r="S113"/>
      <c r="T113"/>
      <c r="U113"/>
      <c r="V113"/>
      <c r="W113">
        <v>18</v>
      </c>
    </row>
    <row r="114" spans="1:23">
      <c r="A114"/>
      <c r="B114" t="s">
        <v>44</v>
      </c>
      <c r="C114" t="s">
        <v>44</v>
      </c>
      <c r="D114" t="s">
        <v>37</v>
      </c>
      <c r="E114" t="s">
        <v>38</v>
      </c>
      <c r="F114" t="str">
        <f>"0000229"</f>
        <v>0000229</v>
      </c>
      <c r="G114">
        <v>1</v>
      </c>
      <c r="H114" t="str">
        <f>"00000000"</f>
        <v>00000000</v>
      </c>
      <c r="I114" t="s">
        <v>39</v>
      </c>
      <c r="J114"/>
      <c r="K114">
        <v>254.24</v>
      </c>
      <c r="L114">
        <v>0.0</v>
      </c>
      <c r="M114"/>
      <c r="N114"/>
      <c r="O114">
        <v>45.76</v>
      </c>
      <c r="P114">
        <v>0.0</v>
      </c>
      <c r="Q114">
        <v>300.0</v>
      </c>
      <c r="R114"/>
      <c r="S114"/>
      <c r="T114"/>
      <c r="U114"/>
      <c r="V114"/>
      <c r="W114">
        <v>18</v>
      </c>
    </row>
    <row r="115" spans="1:23">
      <c r="A115"/>
      <c r="B115" t="s">
        <v>44</v>
      </c>
      <c r="C115" t="s">
        <v>44</v>
      </c>
      <c r="D115" t="s">
        <v>37</v>
      </c>
      <c r="E115" t="s">
        <v>38</v>
      </c>
      <c r="F115" t="str">
        <f>"0000230"</f>
        <v>0000230</v>
      </c>
      <c r="G115">
        <v>1</v>
      </c>
      <c r="H115" t="str">
        <f>"00000000"</f>
        <v>00000000</v>
      </c>
      <c r="I115" t="s">
        <v>39</v>
      </c>
      <c r="J115"/>
      <c r="K115">
        <v>423.73</v>
      </c>
      <c r="L115">
        <v>0.0</v>
      </c>
      <c r="M115"/>
      <c r="N115"/>
      <c r="O115">
        <v>76.27</v>
      </c>
      <c r="P115">
        <v>0.0</v>
      </c>
      <c r="Q115">
        <v>500.0</v>
      </c>
      <c r="R115"/>
      <c r="S115"/>
      <c r="T115"/>
      <c r="U115"/>
      <c r="V115"/>
      <c r="W115">
        <v>18</v>
      </c>
    </row>
    <row r="116" spans="1:23">
      <c r="A116"/>
      <c r="B116" t="s">
        <v>44</v>
      </c>
      <c r="C116" t="s">
        <v>44</v>
      </c>
      <c r="D116" t="s">
        <v>37</v>
      </c>
      <c r="E116" t="s">
        <v>38</v>
      </c>
      <c r="F116" t="str">
        <f>"0000231"</f>
        <v>0000231</v>
      </c>
      <c r="G116">
        <v>1</v>
      </c>
      <c r="H116" t="str">
        <f>"00000000"</f>
        <v>00000000</v>
      </c>
      <c r="I116" t="s">
        <v>39</v>
      </c>
      <c r="J116"/>
      <c r="K116">
        <v>177.97</v>
      </c>
      <c r="L116">
        <v>0.0</v>
      </c>
      <c r="M116"/>
      <c r="N116"/>
      <c r="O116">
        <v>32.03</v>
      </c>
      <c r="P116">
        <v>0.0</v>
      </c>
      <c r="Q116">
        <v>210.0</v>
      </c>
      <c r="R116"/>
      <c r="S116"/>
      <c r="T116"/>
      <c r="U116"/>
      <c r="V116"/>
      <c r="W116">
        <v>18</v>
      </c>
    </row>
    <row r="117" spans="1:23">
      <c r="A117"/>
      <c r="B117" t="s">
        <v>44</v>
      </c>
      <c r="C117" t="s">
        <v>44</v>
      </c>
      <c r="D117" t="s">
        <v>37</v>
      </c>
      <c r="E117" t="s">
        <v>38</v>
      </c>
      <c r="F117" t="str">
        <f>"0000232"</f>
        <v>0000232</v>
      </c>
      <c r="G117">
        <v>1</v>
      </c>
      <c r="H117" t="str">
        <f>"00000000"</f>
        <v>00000000</v>
      </c>
      <c r="I117" t="s">
        <v>39</v>
      </c>
      <c r="J117"/>
      <c r="K117">
        <v>296.61</v>
      </c>
      <c r="L117">
        <v>0.0</v>
      </c>
      <c r="M117"/>
      <c r="N117"/>
      <c r="O117">
        <v>53.39</v>
      </c>
      <c r="P117">
        <v>0.0</v>
      </c>
      <c r="Q117">
        <v>350.0</v>
      </c>
      <c r="R117"/>
      <c r="S117"/>
      <c r="T117"/>
      <c r="U117"/>
      <c r="V117"/>
      <c r="W117">
        <v>18</v>
      </c>
    </row>
    <row r="118" spans="1:23">
      <c r="A118"/>
      <c r="B118" t="s">
        <v>44</v>
      </c>
      <c r="C118" t="s">
        <v>44</v>
      </c>
      <c r="D118" t="s">
        <v>37</v>
      </c>
      <c r="E118" t="s">
        <v>38</v>
      </c>
      <c r="F118" t="str">
        <f>"0000233"</f>
        <v>0000233</v>
      </c>
      <c r="G118">
        <v>1</v>
      </c>
      <c r="H118" t="str">
        <f>"00000000"</f>
        <v>00000000</v>
      </c>
      <c r="I118" t="s">
        <v>39</v>
      </c>
      <c r="J118"/>
      <c r="K118">
        <v>207.63</v>
      </c>
      <c r="L118">
        <v>0.0</v>
      </c>
      <c r="M118"/>
      <c r="N118"/>
      <c r="O118">
        <v>37.37</v>
      </c>
      <c r="P118">
        <v>0.0</v>
      </c>
      <c r="Q118">
        <v>245.0</v>
      </c>
      <c r="R118"/>
      <c r="S118"/>
      <c r="T118"/>
      <c r="U118"/>
      <c r="V118"/>
      <c r="W118">
        <v>18</v>
      </c>
    </row>
    <row r="119" spans="1:23">
      <c r="A119"/>
      <c r="B119" t="s">
        <v>44</v>
      </c>
      <c r="C119" t="s">
        <v>44</v>
      </c>
      <c r="D119" t="s">
        <v>37</v>
      </c>
      <c r="E119" t="s">
        <v>38</v>
      </c>
      <c r="F119" t="str">
        <f>"0000234"</f>
        <v>0000234</v>
      </c>
      <c r="G119">
        <v>1</v>
      </c>
      <c r="H119" t="str">
        <f>"00000000"</f>
        <v>00000000</v>
      </c>
      <c r="I119" t="s">
        <v>39</v>
      </c>
      <c r="J119"/>
      <c r="K119">
        <v>296.61</v>
      </c>
      <c r="L119">
        <v>0.0</v>
      </c>
      <c r="M119"/>
      <c r="N119"/>
      <c r="O119">
        <v>53.39</v>
      </c>
      <c r="P119">
        <v>0.0</v>
      </c>
      <c r="Q119">
        <v>350.0</v>
      </c>
      <c r="R119"/>
      <c r="S119"/>
      <c r="T119"/>
      <c r="U119"/>
      <c r="V119"/>
      <c r="W119">
        <v>18</v>
      </c>
    </row>
    <row r="120" spans="1:23">
      <c r="A120"/>
      <c r="B120" t="s">
        <v>44</v>
      </c>
      <c r="C120" t="s">
        <v>44</v>
      </c>
      <c r="D120" t="s">
        <v>37</v>
      </c>
      <c r="E120" t="s">
        <v>38</v>
      </c>
      <c r="F120" t="str">
        <f>"0000235"</f>
        <v>0000235</v>
      </c>
      <c r="G120">
        <v>1</v>
      </c>
      <c r="H120" t="str">
        <f>"00000000"</f>
        <v>00000000</v>
      </c>
      <c r="I120" t="s">
        <v>39</v>
      </c>
      <c r="J120"/>
      <c r="K120">
        <v>271.19</v>
      </c>
      <c r="L120">
        <v>0.0</v>
      </c>
      <c r="M120"/>
      <c r="N120"/>
      <c r="O120">
        <v>48.81</v>
      </c>
      <c r="P120">
        <v>0.0</v>
      </c>
      <c r="Q120">
        <v>320.0</v>
      </c>
      <c r="R120"/>
      <c r="S120"/>
      <c r="T120"/>
      <c r="U120"/>
      <c r="V120"/>
      <c r="W120">
        <v>18</v>
      </c>
    </row>
    <row r="121" spans="1:23">
      <c r="A121"/>
      <c r="B121" t="s">
        <v>44</v>
      </c>
      <c r="C121" t="s">
        <v>44</v>
      </c>
      <c r="D121" t="s">
        <v>37</v>
      </c>
      <c r="E121" t="s">
        <v>38</v>
      </c>
      <c r="F121" t="str">
        <f>"0000236"</f>
        <v>0000236</v>
      </c>
      <c r="G121">
        <v>1</v>
      </c>
      <c r="H121" t="str">
        <f>"00000000"</f>
        <v>00000000</v>
      </c>
      <c r="I121" t="s">
        <v>39</v>
      </c>
      <c r="J121"/>
      <c r="K121">
        <v>254.24</v>
      </c>
      <c r="L121">
        <v>0.0</v>
      </c>
      <c r="M121"/>
      <c r="N121"/>
      <c r="O121">
        <v>45.76</v>
      </c>
      <c r="P121">
        <v>0.0</v>
      </c>
      <c r="Q121">
        <v>300.0</v>
      </c>
      <c r="R121"/>
      <c r="S121"/>
      <c r="T121"/>
      <c r="U121"/>
      <c r="V121"/>
      <c r="W121">
        <v>18</v>
      </c>
    </row>
    <row r="122" spans="1:23">
      <c r="A122"/>
      <c r="B122" t="s">
        <v>44</v>
      </c>
      <c r="C122" t="s">
        <v>44</v>
      </c>
      <c r="D122" t="s">
        <v>37</v>
      </c>
      <c r="E122" t="s">
        <v>38</v>
      </c>
      <c r="F122" t="str">
        <f>"0000237"</f>
        <v>0000237</v>
      </c>
      <c r="G122">
        <v>1</v>
      </c>
      <c r="H122" t="str">
        <f>"00000000"</f>
        <v>00000000</v>
      </c>
      <c r="I122" t="s">
        <v>39</v>
      </c>
      <c r="J122"/>
      <c r="K122">
        <v>275.42</v>
      </c>
      <c r="L122">
        <v>0.0</v>
      </c>
      <c r="M122"/>
      <c r="N122"/>
      <c r="O122">
        <v>49.58</v>
      </c>
      <c r="P122">
        <v>0.0</v>
      </c>
      <c r="Q122">
        <v>325.0</v>
      </c>
      <c r="R122"/>
      <c r="S122"/>
      <c r="T122"/>
      <c r="U122"/>
      <c r="V122"/>
      <c r="W122">
        <v>18</v>
      </c>
    </row>
    <row r="123" spans="1:23">
      <c r="A123"/>
      <c r="B123" t="s">
        <v>44</v>
      </c>
      <c r="C123" t="s">
        <v>44</v>
      </c>
      <c r="D123" t="s">
        <v>37</v>
      </c>
      <c r="E123" t="s">
        <v>38</v>
      </c>
      <c r="F123" t="str">
        <f>"0000238"</f>
        <v>0000238</v>
      </c>
      <c r="G123">
        <v>1</v>
      </c>
      <c r="H123" t="str">
        <f>"00000000"</f>
        <v>00000000</v>
      </c>
      <c r="I123" t="s">
        <v>39</v>
      </c>
      <c r="J123"/>
      <c r="K123">
        <v>275.42</v>
      </c>
      <c r="L123">
        <v>0.0</v>
      </c>
      <c r="M123"/>
      <c r="N123"/>
      <c r="O123">
        <v>49.58</v>
      </c>
      <c r="P123">
        <v>0.0</v>
      </c>
      <c r="Q123">
        <v>325.0</v>
      </c>
      <c r="R123"/>
      <c r="S123"/>
      <c r="T123"/>
      <c r="U123"/>
      <c r="V123"/>
      <c r="W123">
        <v>18</v>
      </c>
    </row>
    <row r="124" spans="1:23">
      <c r="A124"/>
      <c r="B124" t="s">
        <v>44</v>
      </c>
      <c r="C124" t="s">
        <v>44</v>
      </c>
      <c r="D124" t="s">
        <v>37</v>
      </c>
      <c r="E124" t="s">
        <v>38</v>
      </c>
      <c r="F124" t="str">
        <f>"0000239"</f>
        <v>0000239</v>
      </c>
      <c r="G124">
        <v>1</v>
      </c>
      <c r="H124" t="str">
        <f>"00000000"</f>
        <v>00000000</v>
      </c>
      <c r="I124" t="s">
        <v>39</v>
      </c>
      <c r="J124"/>
      <c r="K124">
        <v>305.08</v>
      </c>
      <c r="L124">
        <v>0.0</v>
      </c>
      <c r="M124"/>
      <c r="N124"/>
      <c r="O124">
        <v>54.92</v>
      </c>
      <c r="P124">
        <v>0.0</v>
      </c>
      <c r="Q124">
        <v>360.0</v>
      </c>
      <c r="R124"/>
      <c r="S124"/>
      <c r="T124"/>
      <c r="U124"/>
      <c r="V124"/>
      <c r="W124">
        <v>18</v>
      </c>
    </row>
    <row r="125" spans="1:23">
      <c r="A125"/>
      <c r="B125" t="s">
        <v>44</v>
      </c>
      <c r="C125" t="s">
        <v>44</v>
      </c>
      <c r="D125" t="s">
        <v>37</v>
      </c>
      <c r="E125" t="s">
        <v>38</v>
      </c>
      <c r="F125" t="str">
        <f>"0000240"</f>
        <v>0000240</v>
      </c>
      <c r="G125">
        <v>1</v>
      </c>
      <c r="H125" t="str">
        <f>"00000000"</f>
        <v>00000000</v>
      </c>
      <c r="I125" t="s">
        <v>39</v>
      </c>
      <c r="J125"/>
      <c r="K125">
        <v>317.8</v>
      </c>
      <c r="L125">
        <v>0.0</v>
      </c>
      <c r="M125"/>
      <c r="N125"/>
      <c r="O125">
        <v>57.2</v>
      </c>
      <c r="P125">
        <v>0.0</v>
      </c>
      <c r="Q125">
        <v>375.0</v>
      </c>
      <c r="R125"/>
      <c r="S125"/>
      <c r="T125"/>
      <c r="U125"/>
      <c r="V125"/>
      <c r="W125">
        <v>18</v>
      </c>
    </row>
    <row r="126" spans="1:23">
      <c r="A126"/>
      <c r="B126" t="s">
        <v>44</v>
      </c>
      <c r="C126" t="s">
        <v>44</v>
      </c>
      <c r="D126" t="s">
        <v>37</v>
      </c>
      <c r="E126" t="s">
        <v>38</v>
      </c>
      <c r="F126" t="str">
        <f>"0000241"</f>
        <v>0000241</v>
      </c>
      <c r="G126">
        <v>1</v>
      </c>
      <c r="H126" t="str">
        <f>"00000000"</f>
        <v>00000000</v>
      </c>
      <c r="I126" t="s">
        <v>39</v>
      </c>
      <c r="J126"/>
      <c r="K126">
        <v>262.71</v>
      </c>
      <c r="L126">
        <v>0.0</v>
      </c>
      <c r="M126"/>
      <c r="N126"/>
      <c r="O126">
        <v>47.29</v>
      </c>
      <c r="P126">
        <v>0.0</v>
      </c>
      <c r="Q126">
        <v>310.0</v>
      </c>
      <c r="R126"/>
      <c r="S126"/>
      <c r="T126"/>
      <c r="U126"/>
      <c r="V126"/>
      <c r="W126">
        <v>18</v>
      </c>
    </row>
    <row r="127" spans="1:23">
      <c r="A127"/>
      <c r="B127" t="s">
        <v>44</v>
      </c>
      <c r="C127" t="s">
        <v>44</v>
      </c>
      <c r="D127" t="s">
        <v>37</v>
      </c>
      <c r="E127" t="s">
        <v>38</v>
      </c>
      <c r="F127" t="str">
        <f>"0000242"</f>
        <v>0000242</v>
      </c>
      <c r="G127">
        <v>1</v>
      </c>
      <c r="H127" t="str">
        <f>"00000000"</f>
        <v>00000000</v>
      </c>
      <c r="I127" t="s">
        <v>39</v>
      </c>
      <c r="J127"/>
      <c r="K127">
        <v>220.34</v>
      </c>
      <c r="L127">
        <v>0.0</v>
      </c>
      <c r="M127"/>
      <c r="N127"/>
      <c r="O127">
        <v>39.66</v>
      </c>
      <c r="P127">
        <v>0.0</v>
      </c>
      <c r="Q127">
        <v>260.0</v>
      </c>
      <c r="R127"/>
      <c r="S127"/>
      <c r="T127"/>
      <c r="U127"/>
      <c r="V127"/>
      <c r="W127">
        <v>18</v>
      </c>
    </row>
    <row r="128" spans="1:23">
      <c r="A128"/>
      <c r="B128" t="s">
        <v>44</v>
      </c>
      <c r="C128" t="s">
        <v>44</v>
      </c>
      <c r="D128" t="s">
        <v>37</v>
      </c>
      <c r="E128" t="s">
        <v>38</v>
      </c>
      <c r="F128" t="str">
        <f>"0000243"</f>
        <v>0000243</v>
      </c>
      <c r="G128">
        <v>1</v>
      </c>
      <c r="H128" t="str">
        <f>"00000000"</f>
        <v>00000000</v>
      </c>
      <c r="I128" t="s">
        <v>39</v>
      </c>
      <c r="J128"/>
      <c r="K128">
        <v>177.97</v>
      </c>
      <c r="L128">
        <v>0.0</v>
      </c>
      <c r="M128"/>
      <c r="N128"/>
      <c r="O128">
        <v>32.03</v>
      </c>
      <c r="P128">
        <v>0.0</v>
      </c>
      <c r="Q128">
        <v>210.0</v>
      </c>
      <c r="R128"/>
      <c r="S128"/>
      <c r="T128"/>
      <c r="U128"/>
      <c r="V128"/>
      <c r="W128">
        <v>18</v>
      </c>
    </row>
    <row r="129" spans="1:23">
      <c r="A129"/>
      <c r="B129" t="s">
        <v>44</v>
      </c>
      <c r="C129" t="s">
        <v>44</v>
      </c>
      <c r="D129" t="s">
        <v>37</v>
      </c>
      <c r="E129" t="s">
        <v>38</v>
      </c>
      <c r="F129" t="str">
        <f>"0000244"</f>
        <v>0000244</v>
      </c>
      <c r="G129">
        <v>1</v>
      </c>
      <c r="H129" t="str">
        <f>"00000000"</f>
        <v>00000000</v>
      </c>
      <c r="I129" t="s">
        <v>39</v>
      </c>
      <c r="J129"/>
      <c r="K129">
        <v>275.42</v>
      </c>
      <c r="L129">
        <v>0.0</v>
      </c>
      <c r="M129"/>
      <c r="N129"/>
      <c r="O129">
        <v>49.58</v>
      </c>
      <c r="P129">
        <v>0.0</v>
      </c>
      <c r="Q129">
        <v>325.0</v>
      </c>
      <c r="R129"/>
      <c r="S129"/>
      <c r="T129"/>
      <c r="U129"/>
      <c r="V129"/>
      <c r="W129">
        <v>18</v>
      </c>
    </row>
    <row r="130" spans="1:23">
      <c r="A130"/>
      <c r="B130" t="s">
        <v>44</v>
      </c>
      <c r="C130" t="s">
        <v>44</v>
      </c>
      <c r="D130" t="s">
        <v>37</v>
      </c>
      <c r="E130" t="s">
        <v>38</v>
      </c>
      <c r="F130" t="str">
        <f>"0000245"</f>
        <v>0000245</v>
      </c>
      <c r="G130">
        <v>1</v>
      </c>
      <c r="H130" t="str">
        <f>"00000000"</f>
        <v>00000000</v>
      </c>
      <c r="I130" t="s">
        <v>39</v>
      </c>
      <c r="J130"/>
      <c r="K130">
        <v>254.24</v>
      </c>
      <c r="L130">
        <v>0.0</v>
      </c>
      <c r="M130"/>
      <c r="N130"/>
      <c r="O130">
        <v>45.76</v>
      </c>
      <c r="P130">
        <v>0.0</v>
      </c>
      <c r="Q130">
        <v>300.0</v>
      </c>
      <c r="R130"/>
      <c r="S130"/>
      <c r="T130"/>
      <c r="U130"/>
      <c r="V130"/>
      <c r="W130">
        <v>18</v>
      </c>
    </row>
    <row r="131" spans="1:23">
      <c r="A131"/>
      <c r="B131" t="s">
        <v>44</v>
      </c>
      <c r="C131" t="s">
        <v>44</v>
      </c>
      <c r="D131" t="s">
        <v>37</v>
      </c>
      <c r="E131" t="s">
        <v>38</v>
      </c>
      <c r="F131" t="str">
        <f>"0000246"</f>
        <v>0000246</v>
      </c>
      <c r="G131">
        <v>1</v>
      </c>
      <c r="H131" t="str">
        <f>"00000000"</f>
        <v>00000000</v>
      </c>
      <c r="I131" t="s">
        <v>39</v>
      </c>
      <c r="J131"/>
      <c r="K131">
        <v>389.83</v>
      </c>
      <c r="L131">
        <v>0.0</v>
      </c>
      <c r="M131"/>
      <c r="N131"/>
      <c r="O131">
        <v>70.17</v>
      </c>
      <c r="P131">
        <v>0.0</v>
      </c>
      <c r="Q131">
        <v>460.0</v>
      </c>
      <c r="R131"/>
      <c r="S131"/>
      <c r="T131"/>
      <c r="U131"/>
      <c r="V131"/>
      <c r="W131">
        <v>18</v>
      </c>
    </row>
    <row r="132" spans="1:23">
      <c r="A132"/>
      <c r="B132" t="s">
        <v>44</v>
      </c>
      <c r="C132" t="s">
        <v>44</v>
      </c>
      <c r="D132" t="s">
        <v>37</v>
      </c>
      <c r="E132" t="s">
        <v>38</v>
      </c>
      <c r="F132" t="str">
        <f>"0000247"</f>
        <v>0000247</v>
      </c>
      <c r="G132">
        <v>1</v>
      </c>
      <c r="H132" t="str">
        <f>"00000000"</f>
        <v>00000000</v>
      </c>
      <c r="I132" t="s">
        <v>39</v>
      </c>
      <c r="J132"/>
      <c r="K132">
        <v>398.31</v>
      </c>
      <c r="L132">
        <v>0.0</v>
      </c>
      <c r="M132"/>
      <c r="N132"/>
      <c r="O132">
        <v>71.69</v>
      </c>
      <c r="P132">
        <v>0.0</v>
      </c>
      <c r="Q132">
        <v>470.0</v>
      </c>
      <c r="R132"/>
      <c r="S132"/>
      <c r="T132"/>
      <c r="U132"/>
      <c r="V132"/>
      <c r="W132">
        <v>18</v>
      </c>
    </row>
    <row r="133" spans="1:23">
      <c r="A133"/>
      <c r="B133" t="s">
        <v>44</v>
      </c>
      <c r="C133" t="s">
        <v>44</v>
      </c>
      <c r="D133" t="s">
        <v>37</v>
      </c>
      <c r="E133" t="s">
        <v>38</v>
      </c>
      <c r="F133" t="str">
        <f>"0000248"</f>
        <v>0000248</v>
      </c>
      <c r="G133">
        <v>1</v>
      </c>
      <c r="H133" t="str">
        <f>"00000000"</f>
        <v>00000000</v>
      </c>
      <c r="I133" t="s">
        <v>39</v>
      </c>
      <c r="J133"/>
      <c r="K133">
        <v>211.86</v>
      </c>
      <c r="L133">
        <v>0.0</v>
      </c>
      <c r="M133"/>
      <c r="N133"/>
      <c r="O133">
        <v>38.14</v>
      </c>
      <c r="P133">
        <v>0.0</v>
      </c>
      <c r="Q133">
        <v>250.0</v>
      </c>
      <c r="R133"/>
      <c r="S133"/>
      <c r="T133"/>
      <c r="U133"/>
      <c r="V133"/>
      <c r="W133">
        <v>18</v>
      </c>
    </row>
    <row r="134" spans="1:23">
      <c r="A134"/>
      <c r="B134" t="s">
        <v>44</v>
      </c>
      <c r="C134" t="s">
        <v>44</v>
      </c>
      <c r="D134" t="s">
        <v>37</v>
      </c>
      <c r="E134" t="s">
        <v>38</v>
      </c>
      <c r="F134" t="str">
        <f>"0000249"</f>
        <v>0000249</v>
      </c>
      <c r="G134">
        <v>1</v>
      </c>
      <c r="H134" t="str">
        <f>"00000000"</f>
        <v>00000000</v>
      </c>
      <c r="I134" t="s">
        <v>39</v>
      </c>
      <c r="J134"/>
      <c r="K134">
        <v>169.49</v>
      </c>
      <c r="L134">
        <v>0.0</v>
      </c>
      <c r="M134"/>
      <c r="N134"/>
      <c r="O134">
        <v>30.51</v>
      </c>
      <c r="P134">
        <v>0.0</v>
      </c>
      <c r="Q134">
        <v>200.0</v>
      </c>
      <c r="R134"/>
      <c r="S134"/>
      <c r="T134"/>
      <c r="U134"/>
      <c r="V134"/>
      <c r="W134">
        <v>18</v>
      </c>
    </row>
    <row r="135" spans="1:23">
      <c r="A135"/>
      <c r="B135" t="s">
        <v>45</v>
      </c>
      <c r="C135" t="s">
        <v>45</v>
      </c>
      <c r="D135" t="s">
        <v>37</v>
      </c>
      <c r="E135" t="s">
        <v>38</v>
      </c>
      <c r="F135" t="str">
        <f>"0000250"</f>
        <v>0000250</v>
      </c>
      <c r="G135">
        <v>1</v>
      </c>
      <c r="H135" t="str">
        <f>"00000000"</f>
        <v>00000000</v>
      </c>
      <c r="I135" t="s">
        <v>39</v>
      </c>
      <c r="J135"/>
      <c r="K135">
        <v>275.42</v>
      </c>
      <c r="L135">
        <v>0.0</v>
      </c>
      <c r="M135"/>
      <c r="N135"/>
      <c r="O135">
        <v>49.58</v>
      </c>
      <c r="P135">
        <v>0.0</v>
      </c>
      <c r="Q135">
        <v>325.0</v>
      </c>
      <c r="R135"/>
      <c r="S135"/>
      <c r="T135"/>
      <c r="U135"/>
      <c r="V135"/>
      <c r="W135">
        <v>18</v>
      </c>
    </row>
    <row r="136" spans="1:23">
      <c r="A136"/>
      <c r="B136" t="s">
        <v>45</v>
      </c>
      <c r="C136" t="s">
        <v>45</v>
      </c>
      <c r="D136" t="s">
        <v>37</v>
      </c>
      <c r="E136" t="s">
        <v>38</v>
      </c>
      <c r="F136" t="str">
        <f>"0000251"</f>
        <v>0000251</v>
      </c>
      <c r="G136">
        <v>1</v>
      </c>
      <c r="H136" t="str">
        <f>"00000000"</f>
        <v>00000000</v>
      </c>
      <c r="I136" t="s">
        <v>39</v>
      </c>
      <c r="J136"/>
      <c r="K136">
        <v>254.24</v>
      </c>
      <c r="L136">
        <v>0.0</v>
      </c>
      <c r="M136"/>
      <c r="N136"/>
      <c r="O136">
        <v>45.76</v>
      </c>
      <c r="P136">
        <v>0.0</v>
      </c>
      <c r="Q136">
        <v>300.0</v>
      </c>
      <c r="R136"/>
      <c r="S136"/>
      <c r="T136"/>
      <c r="U136"/>
      <c r="V136"/>
      <c r="W136">
        <v>18</v>
      </c>
    </row>
    <row r="137" spans="1:23">
      <c r="A137"/>
      <c r="B137" t="s">
        <v>45</v>
      </c>
      <c r="C137" t="s">
        <v>45</v>
      </c>
      <c r="D137" t="s">
        <v>37</v>
      </c>
      <c r="E137" t="s">
        <v>38</v>
      </c>
      <c r="F137" t="str">
        <f>"0000252"</f>
        <v>0000252</v>
      </c>
      <c r="G137">
        <v>1</v>
      </c>
      <c r="H137" t="str">
        <f>"00000000"</f>
        <v>00000000</v>
      </c>
      <c r="I137" t="s">
        <v>39</v>
      </c>
      <c r="J137"/>
      <c r="K137">
        <v>364.41</v>
      </c>
      <c r="L137">
        <v>0.0</v>
      </c>
      <c r="M137"/>
      <c r="N137"/>
      <c r="O137">
        <v>65.59</v>
      </c>
      <c r="P137">
        <v>0.0</v>
      </c>
      <c r="Q137">
        <v>430.0</v>
      </c>
      <c r="R137"/>
      <c r="S137"/>
      <c r="T137"/>
      <c r="U137"/>
      <c r="V137"/>
      <c r="W137">
        <v>18</v>
      </c>
    </row>
    <row r="138" spans="1:23">
      <c r="A138"/>
      <c r="B138" t="s">
        <v>45</v>
      </c>
      <c r="C138" t="s">
        <v>45</v>
      </c>
      <c r="D138" t="s">
        <v>37</v>
      </c>
      <c r="E138" t="s">
        <v>38</v>
      </c>
      <c r="F138" t="str">
        <f>"0000253"</f>
        <v>0000253</v>
      </c>
      <c r="G138">
        <v>1</v>
      </c>
      <c r="H138" t="str">
        <f>"00000000"</f>
        <v>00000000</v>
      </c>
      <c r="I138" t="s">
        <v>39</v>
      </c>
      <c r="J138"/>
      <c r="K138">
        <v>377.12</v>
      </c>
      <c r="L138">
        <v>0.0</v>
      </c>
      <c r="M138"/>
      <c r="N138"/>
      <c r="O138">
        <v>67.88</v>
      </c>
      <c r="P138">
        <v>0.0</v>
      </c>
      <c r="Q138">
        <v>445.0</v>
      </c>
      <c r="R138"/>
      <c r="S138"/>
      <c r="T138"/>
      <c r="U138"/>
      <c r="V138"/>
      <c r="W138">
        <v>18</v>
      </c>
    </row>
    <row r="139" spans="1:23">
      <c r="A139"/>
      <c r="B139" t="s">
        <v>45</v>
      </c>
      <c r="C139" t="s">
        <v>45</v>
      </c>
      <c r="D139" t="s">
        <v>37</v>
      </c>
      <c r="E139" t="s">
        <v>38</v>
      </c>
      <c r="F139" t="str">
        <f>"0000254"</f>
        <v>0000254</v>
      </c>
      <c r="G139">
        <v>1</v>
      </c>
      <c r="H139" t="str">
        <f>"00000000"</f>
        <v>00000000</v>
      </c>
      <c r="I139" t="s">
        <v>39</v>
      </c>
      <c r="J139"/>
      <c r="K139">
        <v>254.24</v>
      </c>
      <c r="L139">
        <v>0.0</v>
      </c>
      <c r="M139"/>
      <c r="N139"/>
      <c r="O139">
        <v>45.76</v>
      </c>
      <c r="P139">
        <v>0.0</v>
      </c>
      <c r="Q139">
        <v>300.0</v>
      </c>
      <c r="R139"/>
      <c r="S139"/>
      <c r="T139"/>
      <c r="U139"/>
      <c r="V139"/>
      <c r="W139">
        <v>18</v>
      </c>
    </row>
    <row r="140" spans="1:23">
      <c r="A140"/>
      <c r="B140" t="s">
        <v>45</v>
      </c>
      <c r="C140" t="s">
        <v>45</v>
      </c>
      <c r="D140" t="s">
        <v>37</v>
      </c>
      <c r="E140" t="s">
        <v>38</v>
      </c>
      <c r="F140" t="str">
        <f>"0000255"</f>
        <v>0000255</v>
      </c>
      <c r="G140">
        <v>1</v>
      </c>
      <c r="H140" t="str">
        <f>"00000000"</f>
        <v>00000000</v>
      </c>
      <c r="I140" t="s">
        <v>39</v>
      </c>
      <c r="J140"/>
      <c r="K140">
        <v>279.66</v>
      </c>
      <c r="L140">
        <v>0.0</v>
      </c>
      <c r="M140"/>
      <c r="N140"/>
      <c r="O140">
        <v>50.34</v>
      </c>
      <c r="P140">
        <v>0.0</v>
      </c>
      <c r="Q140">
        <v>330.0</v>
      </c>
      <c r="R140"/>
      <c r="S140"/>
      <c r="T140"/>
      <c r="U140"/>
      <c r="V140"/>
      <c r="W140">
        <v>18</v>
      </c>
    </row>
    <row r="141" spans="1:23">
      <c r="A141"/>
      <c r="B141" t="s">
        <v>45</v>
      </c>
      <c r="C141" t="s">
        <v>45</v>
      </c>
      <c r="D141" t="s">
        <v>37</v>
      </c>
      <c r="E141" t="s">
        <v>38</v>
      </c>
      <c r="F141" t="str">
        <f>"0000256"</f>
        <v>0000256</v>
      </c>
      <c r="G141">
        <v>1</v>
      </c>
      <c r="H141" t="str">
        <f>"00000000"</f>
        <v>00000000</v>
      </c>
      <c r="I141" t="s">
        <v>39</v>
      </c>
      <c r="J141"/>
      <c r="K141">
        <v>296.61</v>
      </c>
      <c r="L141">
        <v>0.0</v>
      </c>
      <c r="M141"/>
      <c r="N141"/>
      <c r="O141">
        <v>53.39</v>
      </c>
      <c r="P141">
        <v>0.0</v>
      </c>
      <c r="Q141">
        <v>350.0</v>
      </c>
      <c r="R141"/>
      <c r="S141"/>
      <c r="T141"/>
      <c r="U141"/>
      <c r="V141"/>
      <c r="W141">
        <v>18</v>
      </c>
    </row>
    <row r="142" spans="1:23">
      <c r="A142"/>
      <c r="B142" t="s">
        <v>45</v>
      </c>
      <c r="C142" t="s">
        <v>45</v>
      </c>
      <c r="D142" t="s">
        <v>37</v>
      </c>
      <c r="E142" t="s">
        <v>38</v>
      </c>
      <c r="F142" t="str">
        <f>"0000257"</f>
        <v>0000257</v>
      </c>
      <c r="G142">
        <v>1</v>
      </c>
      <c r="H142" t="str">
        <f>"00000000"</f>
        <v>00000000</v>
      </c>
      <c r="I142" t="s">
        <v>39</v>
      </c>
      <c r="J142"/>
      <c r="K142">
        <v>271.19</v>
      </c>
      <c r="L142">
        <v>0.0</v>
      </c>
      <c r="M142"/>
      <c r="N142"/>
      <c r="O142">
        <v>48.81</v>
      </c>
      <c r="P142">
        <v>0.0</v>
      </c>
      <c r="Q142">
        <v>320.0</v>
      </c>
      <c r="R142"/>
      <c r="S142"/>
      <c r="T142"/>
      <c r="U142"/>
      <c r="V142"/>
      <c r="W142">
        <v>18</v>
      </c>
    </row>
    <row r="143" spans="1:23">
      <c r="A143"/>
      <c r="B143" t="s">
        <v>45</v>
      </c>
      <c r="C143" t="s">
        <v>45</v>
      </c>
      <c r="D143" t="s">
        <v>37</v>
      </c>
      <c r="E143" t="s">
        <v>38</v>
      </c>
      <c r="F143" t="str">
        <f>"0000258"</f>
        <v>0000258</v>
      </c>
      <c r="G143">
        <v>1</v>
      </c>
      <c r="H143" t="str">
        <f>"00000000"</f>
        <v>00000000</v>
      </c>
      <c r="I143" t="s">
        <v>39</v>
      </c>
      <c r="J143"/>
      <c r="K143">
        <v>296.61</v>
      </c>
      <c r="L143">
        <v>0.0</v>
      </c>
      <c r="M143"/>
      <c r="N143"/>
      <c r="O143">
        <v>53.39</v>
      </c>
      <c r="P143">
        <v>0.0</v>
      </c>
      <c r="Q143">
        <v>350.0</v>
      </c>
      <c r="R143"/>
      <c r="S143"/>
      <c r="T143"/>
      <c r="U143"/>
      <c r="V143"/>
      <c r="W143">
        <v>18</v>
      </c>
    </row>
    <row r="144" spans="1:23">
      <c r="A144"/>
      <c r="B144" t="s">
        <v>45</v>
      </c>
      <c r="C144" t="s">
        <v>45</v>
      </c>
      <c r="D144" t="s">
        <v>37</v>
      </c>
      <c r="E144" t="s">
        <v>38</v>
      </c>
      <c r="F144" t="str">
        <f>"0000259"</f>
        <v>0000259</v>
      </c>
      <c r="G144">
        <v>1</v>
      </c>
      <c r="H144" t="str">
        <f>"00000000"</f>
        <v>00000000</v>
      </c>
      <c r="I144" t="s">
        <v>39</v>
      </c>
      <c r="J144"/>
      <c r="K144">
        <v>338.98</v>
      </c>
      <c r="L144">
        <v>0.0</v>
      </c>
      <c r="M144"/>
      <c r="N144"/>
      <c r="O144">
        <v>61.02</v>
      </c>
      <c r="P144">
        <v>0.0</v>
      </c>
      <c r="Q144">
        <v>400.0</v>
      </c>
      <c r="R144"/>
      <c r="S144"/>
      <c r="T144"/>
      <c r="U144"/>
      <c r="V144"/>
      <c r="W144">
        <v>18</v>
      </c>
    </row>
    <row r="145" spans="1:23">
      <c r="A145"/>
      <c r="B145" t="s">
        <v>45</v>
      </c>
      <c r="C145" t="s">
        <v>45</v>
      </c>
      <c r="D145" t="s">
        <v>37</v>
      </c>
      <c r="E145" t="s">
        <v>38</v>
      </c>
      <c r="F145" t="str">
        <f>"0000260"</f>
        <v>0000260</v>
      </c>
      <c r="G145">
        <v>1</v>
      </c>
      <c r="H145" t="str">
        <f>"00000000"</f>
        <v>00000000</v>
      </c>
      <c r="I145" t="s">
        <v>39</v>
      </c>
      <c r="J145"/>
      <c r="K145">
        <v>322.03</v>
      </c>
      <c r="L145">
        <v>0.0</v>
      </c>
      <c r="M145"/>
      <c r="N145"/>
      <c r="O145">
        <v>57.97</v>
      </c>
      <c r="P145">
        <v>0.0</v>
      </c>
      <c r="Q145">
        <v>380.0</v>
      </c>
      <c r="R145"/>
      <c r="S145"/>
      <c r="T145"/>
      <c r="U145"/>
      <c r="V145"/>
      <c r="W145">
        <v>18</v>
      </c>
    </row>
    <row r="146" spans="1:23">
      <c r="A146"/>
      <c r="B146" t="s">
        <v>45</v>
      </c>
      <c r="C146" t="s">
        <v>45</v>
      </c>
      <c r="D146" t="s">
        <v>37</v>
      </c>
      <c r="E146" t="s">
        <v>38</v>
      </c>
      <c r="F146" t="str">
        <f>"0000261"</f>
        <v>0000261</v>
      </c>
      <c r="G146">
        <v>1</v>
      </c>
      <c r="H146" t="str">
        <f>"00000000"</f>
        <v>00000000</v>
      </c>
      <c r="I146" t="s">
        <v>39</v>
      </c>
      <c r="J146"/>
      <c r="K146">
        <v>275.42</v>
      </c>
      <c r="L146">
        <v>0.0</v>
      </c>
      <c r="M146"/>
      <c r="N146"/>
      <c r="O146">
        <v>49.58</v>
      </c>
      <c r="P146">
        <v>0.0</v>
      </c>
      <c r="Q146">
        <v>325.0</v>
      </c>
      <c r="R146"/>
      <c r="S146"/>
      <c r="T146"/>
      <c r="U146"/>
      <c r="V146"/>
      <c r="W146">
        <v>18</v>
      </c>
    </row>
    <row r="147" spans="1:23">
      <c r="A147"/>
      <c r="B147" t="s">
        <v>45</v>
      </c>
      <c r="C147" t="s">
        <v>45</v>
      </c>
      <c r="D147" t="s">
        <v>37</v>
      </c>
      <c r="E147" t="s">
        <v>38</v>
      </c>
      <c r="F147" t="str">
        <f>"0000262"</f>
        <v>0000262</v>
      </c>
      <c r="G147">
        <v>1</v>
      </c>
      <c r="H147" t="str">
        <f>"00000000"</f>
        <v>00000000</v>
      </c>
      <c r="I147" t="s">
        <v>39</v>
      </c>
      <c r="J147"/>
      <c r="K147">
        <v>271.19</v>
      </c>
      <c r="L147">
        <v>0.0</v>
      </c>
      <c r="M147"/>
      <c r="N147"/>
      <c r="O147">
        <v>48.81</v>
      </c>
      <c r="P147">
        <v>0.0</v>
      </c>
      <c r="Q147">
        <v>320.0</v>
      </c>
      <c r="R147"/>
      <c r="S147"/>
      <c r="T147"/>
      <c r="U147"/>
      <c r="V147"/>
      <c r="W147">
        <v>18</v>
      </c>
    </row>
    <row r="148" spans="1:23">
      <c r="A148"/>
      <c r="B148" t="s">
        <v>45</v>
      </c>
      <c r="C148" t="s">
        <v>45</v>
      </c>
      <c r="D148" t="s">
        <v>37</v>
      </c>
      <c r="E148" t="s">
        <v>38</v>
      </c>
      <c r="F148" t="str">
        <f>"0000263"</f>
        <v>0000263</v>
      </c>
      <c r="G148">
        <v>1</v>
      </c>
      <c r="H148" t="str">
        <f>"00000000"</f>
        <v>00000000</v>
      </c>
      <c r="I148" t="s">
        <v>39</v>
      </c>
      <c r="J148"/>
      <c r="K148">
        <v>330.51</v>
      </c>
      <c r="L148">
        <v>0.0</v>
      </c>
      <c r="M148"/>
      <c r="N148"/>
      <c r="O148">
        <v>59.49</v>
      </c>
      <c r="P148">
        <v>0.0</v>
      </c>
      <c r="Q148">
        <v>390.0</v>
      </c>
      <c r="R148"/>
      <c r="S148"/>
      <c r="T148"/>
      <c r="U148"/>
      <c r="V148"/>
      <c r="W148">
        <v>18</v>
      </c>
    </row>
    <row r="149" spans="1:23">
      <c r="A149"/>
      <c r="B149" t="s">
        <v>45</v>
      </c>
      <c r="C149" t="s">
        <v>45</v>
      </c>
      <c r="D149" t="s">
        <v>37</v>
      </c>
      <c r="E149" t="s">
        <v>38</v>
      </c>
      <c r="F149" t="str">
        <f>"0000264"</f>
        <v>0000264</v>
      </c>
      <c r="G149">
        <v>1</v>
      </c>
      <c r="H149" t="str">
        <f>"00000000"</f>
        <v>00000000</v>
      </c>
      <c r="I149" t="s">
        <v>39</v>
      </c>
      <c r="J149"/>
      <c r="K149">
        <v>406.78</v>
      </c>
      <c r="L149">
        <v>0.0</v>
      </c>
      <c r="M149"/>
      <c r="N149"/>
      <c r="O149">
        <v>73.22</v>
      </c>
      <c r="P149">
        <v>0.0</v>
      </c>
      <c r="Q149">
        <v>480.0</v>
      </c>
      <c r="R149"/>
      <c r="S149"/>
      <c r="T149"/>
      <c r="U149"/>
      <c r="V149"/>
      <c r="W149">
        <v>18</v>
      </c>
    </row>
    <row r="150" spans="1:23">
      <c r="A150"/>
      <c r="B150" t="s">
        <v>45</v>
      </c>
      <c r="C150" t="s">
        <v>45</v>
      </c>
      <c r="D150" t="s">
        <v>37</v>
      </c>
      <c r="E150" t="s">
        <v>38</v>
      </c>
      <c r="F150" t="str">
        <f>"0000265"</f>
        <v>0000265</v>
      </c>
      <c r="G150">
        <v>1</v>
      </c>
      <c r="H150" t="str">
        <f>"00000000"</f>
        <v>00000000</v>
      </c>
      <c r="I150" t="s">
        <v>39</v>
      </c>
      <c r="J150"/>
      <c r="K150">
        <v>254.24</v>
      </c>
      <c r="L150">
        <v>0.0</v>
      </c>
      <c r="M150"/>
      <c r="N150"/>
      <c r="O150">
        <v>45.76</v>
      </c>
      <c r="P150">
        <v>0.0</v>
      </c>
      <c r="Q150">
        <v>300.0</v>
      </c>
      <c r="R150"/>
      <c r="S150"/>
      <c r="T150"/>
      <c r="U150"/>
      <c r="V150"/>
      <c r="W150">
        <v>18</v>
      </c>
    </row>
    <row r="151" spans="1:23">
      <c r="A151"/>
      <c r="B151" t="s">
        <v>45</v>
      </c>
      <c r="C151" t="s">
        <v>45</v>
      </c>
      <c r="D151" t="s">
        <v>37</v>
      </c>
      <c r="E151" t="s">
        <v>38</v>
      </c>
      <c r="F151" t="str">
        <f>"0000266"</f>
        <v>0000266</v>
      </c>
      <c r="G151">
        <v>1</v>
      </c>
      <c r="H151" t="str">
        <f>"00000000"</f>
        <v>00000000</v>
      </c>
      <c r="I151" t="s">
        <v>39</v>
      </c>
      <c r="J151"/>
      <c r="K151">
        <v>296.61</v>
      </c>
      <c r="L151">
        <v>0.0</v>
      </c>
      <c r="M151"/>
      <c r="N151"/>
      <c r="O151">
        <v>53.39</v>
      </c>
      <c r="P151">
        <v>0.0</v>
      </c>
      <c r="Q151">
        <v>350.0</v>
      </c>
      <c r="R151"/>
      <c r="S151"/>
      <c r="T151"/>
      <c r="U151"/>
      <c r="V151"/>
      <c r="W151">
        <v>18</v>
      </c>
    </row>
    <row r="152" spans="1:23">
      <c r="A152"/>
      <c r="B152" t="s">
        <v>45</v>
      </c>
      <c r="C152" t="s">
        <v>45</v>
      </c>
      <c r="D152" t="s">
        <v>37</v>
      </c>
      <c r="E152" t="s">
        <v>38</v>
      </c>
      <c r="F152" t="str">
        <f>"0000267"</f>
        <v>0000267</v>
      </c>
      <c r="G152">
        <v>1</v>
      </c>
      <c r="H152" t="str">
        <f>"00000000"</f>
        <v>00000000</v>
      </c>
      <c r="I152" t="s">
        <v>39</v>
      </c>
      <c r="J152"/>
      <c r="K152">
        <v>296.61</v>
      </c>
      <c r="L152">
        <v>0.0</v>
      </c>
      <c r="M152"/>
      <c r="N152"/>
      <c r="O152">
        <v>53.39</v>
      </c>
      <c r="P152">
        <v>0.0</v>
      </c>
      <c r="Q152">
        <v>350.0</v>
      </c>
      <c r="R152"/>
      <c r="S152"/>
      <c r="T152"/>
      <c r="U152"/>
      <c r="V152"/>
      <c r="W152">
        <v>18</v>
      </c>
    </row>
    <row r="153" spans="1:23">
      <c r="A153"/>
      <c r="B153" t="s">
        <v>45</v>
      </c>
      <c r="C153" t="s">
        <v>45</v>
      </c>
      <c r="D153" t="s">
        <v>37</v>
      </c>
      <c r="E153" t="s">
        <v>38</v>
      </c>
      <c r="F153" t="str">
        <f>"0000268"</f>
        <v>0000268</v>
      </c>
      <c r="G153">
        <v>1</v>
      </c>
      <c r="H153" t="str">
        <f>"00000000"</f>
        <v>00000000</v>
      </c>
      <c r="I153" t="s">
        <v>39</v>
      </c>
      <c r="J153"/>
      <c r="K153">
        <v>355.93</v>
      </c>
      <c r="L153">
        <v>0.0</v>
      </c>
      <c r="M153"/>
      <c r="N153"/>
      <c r="O153">
        <v>64.07</v>
      </c>
      <c r="P153">
        <v>0.0</v>
      </c>
      <c r="Q153">
        <v>420.0</v>
      </c>
      <c r="R153"/>
      <c r="S153"/>
      <c r="T153"/>
      <c r="U153"/>
      <c r="V153"/>
      <c r="W153">
        <v>18</v>
      </c>
    </row>
    <row r="154" spans="1:23">
      <c r="A154"/>
      <c r="B154" t="s">
        <v>45</v>
      </c>
      <c r="C154" t="s">
        <v>45</v>
      </c>
      <c r="D154" t="s">
        <v>37</v>
      </c>
      <c r="E154" t="s">
        <v>38</v>
      </c>
      <c r="F154" t="str">
        <f>"0000269"</f>
        <v>0000269</v>
      </c>
      <c r="G154">
        <v>1</v>
      </c>
      <c r="H154" t="str">
        <f>"00000000"</f>
        <v>00000000</v>
      </c>
      <c r="I154" t="s">
        <v>39</v>
      </c>
      <c r="J154"/>
      <c r="K154">
        <v>355.93</v>
      </c>
      <c r="L154">
        <v>0.0</v>
      </c>
      <c r="M154"/>
      <c r="N154"/>
      <c r="O154">
        <v>64.07</v>
      </c>
      <c r="P154">
        <v>0.0</v>
      </c>
      <c r="Q154">
        <v>420.0</v>
      </c>
      <c r="R154"/>
      <c r="S154"/>
      <c r="T154"/>
      <c r="U154"/>
      <c r="V154"/>
      <c r="W154">
        <v>18</v>
      </c>
    </row>
    <row r="155" spans="1:23">
      <c r="A155"/>
      <c r="B155" t="s">
        <v>45</v>
      </c>
      <c r="C155" t="s">
        <v>45</v>
      </c>
      <c r="D155" t="s">
        <v>37</v>
      </c>
      <c r="E155" t="s">
        <v>38</v>
      </c>
      <c r="F155" t="str">
        <f>"0000270"</f>
        <v>0000270</v>
      </c>
      <c r="G155">
        <v>1</v>
      </c>
      <c r="H155" t="str">
        <f>"00000000"</f>
        <v>00000000</v>
      </c>
      <c r="I155" t="s">
        <v>39</v>
      </c>
      <c r="J155"/>
      <c r="K155">
        <v>207.63</v>
      </c>
      <c r="L155">
        <v>0.0</v>
      </c>
      <c r="M155"/>
      <c r="N155"/>
      <c r="O155">
        <v>37.37</v>
      </c>
      <c r="P155">
        <v>0.0</v>
      </c>
      <c r="Q155">
        <v>245.0</v>
      </c>
      <c r="R155"/>
      <c r="S155"/>
      <c r="T155"/>
      <c r="U155"/>
      <c r="V155"/>
      <c r="W155">
        <v>18</v>
      </c>
    </row>
    <row r="156" spans="1:23">
      <c r="A156"/>
      <c r="B156" t="s">
        <v>45</v>
      </c>
      <c r="C156" t="s">
        <v>45</v>
      </c>
      <c r="D156" t="s">
        <v>37</v>
      </c>
      <c r="E156" t="s">
        <v>38</v>
      </c>
      <c r="F156" t="str">
        <f>"0000271"</f>
        <v>0000271</v>
      </c>
      <c r="G156">
        <v>1</v>
      </c>
      <c r="H156" t="str">
        <f>"00000000"</f>
        <v>00000000</v>
      </c>
      <c r="I156" t="s">
        <v>39</v>
      </c>
      <c r="J156"/>
      <c r="K156">
        <v>279.66</v>
      </c>
      <c r="L156">
        <v>0.0</v>
      </c>
      <c r="M156"/>
      <c r="N156"/>
      <c r="O156">
        <v>50.34</v>
      </c>
      <c r="P156">
        <v>0.0</v>
      </c>
      <c r="Q156">
        <v>330.0</v>
      </c>
      <c r="R156"/>
      <c r="S156"/>
      <c r="T156"/>
      <c r="U156"/>
      <c r="V156"/>
      <c r="W156">
        <v>18</v>
      </c>
    </row>
    <row r="157" spans="1:23">
      <c r="A157"/>
      <c r="B157" t="s">
        <v>45</v>
      </c>
      <c r="C157" t="s">
        <v>45</v>
      </c>
      <c r="D157" t="s">
        <v>37</v>
      </c>
      <c r="E157" t="s">
        <v>38</v>
      </c>
      <c r="F157" t="str">
        <f>"0000272"</f>
        <v>0000272</v>
      </c>
      <c r="G157">
        <v>1</v>
      </c>
      <c r="H157" t="str">
        <f>"00000000"</f>
        <v>00000000</v>
      </c>
      <c r="I157" t="s">
        <v>39</v>
      </c>
      <c r="J157"/>
      <c r="K157">
        <v>372.88</v>
      </c>
      <c r="L157">
        <v>0.0</v>
      </c>
      <c r="M157"/>
      <c r="N157"/>
      <c r="O157">
        <v>67.12</v>
      </c>
      <c r="P157">
        <v>0.0</v>
      </c>
      <c r="Q157">
        <v>440.0</v>
      </c>
      <c r="R157"/>
      <c r="S157"/>
      <c r="T157"/>
      <c r="U157"/>
      <c r="V157"/>
      <c r="W157">
        <v>18</v>
      </c>
    </row>
    <row r="158" spans="1:23">
      <c r="A158"/>
      <c r="B158" t="s">
        <v>45</v>
      </c>
      <c r="C158" t="s">
        <v>45</v>
      </c>
      <c r="D158" t="s">
        <v>37</v>
      </c>
      <c r="E158" t="s">
        <v>38</v>
      </c>
      <c r="F158" t="str">
        <f>"0000273"</f>
        <v>0000273</v>
      </c>
      <c r="G158">
        <v>1</v>
      </c>
      <c r="H158" t="str">
        <f>"00000000"</f>
        <v>00000000</v>
      </c>
      <c r="I158" t="s">
        <v>39</v>
      </c>
      <c r="J158"/>
      <c r="K158">
        <v>355.93</v>
      </c>
      <c r="L158">
        <v>0.0</v>
      </c>
      <c r="M158"/>
      <c r="N158"/>
      <c r="O158">
        <v>64.07</v>
      </c>
      <c r="P158">
        <v>0.0</v>
      </c>
      <c r="Q158">
        <v>420.0</v>
      </c>
      <c r="R158"/>
      <c r="S158"/>
      <c r="T158"/>
      <c r="U158"/>
      <c r="V158"/>
      <c r="W158">
        <v>18</v>
      </c>
    </row>
    <row r="159" spans="1:23">
      <c r="A159"/>
      <c r="B159" t="s">
        <v>45</v>
      </c>
      <c r="C159" t="s">
        <v>45</v>
      </c>
      <c r="D159" t="s">
        <v>37</v>
      </c>
      <c r="E159" t="s">
        <v>38</v>
      </c>
      <c r="F159" t="str">
        <f>"0000274"</f>
        <v>0000274</v>
      </c>
      <c r="G159">
        <v>1</v>
      </c>
      <c r="H159" t="str">
        <f>"00000000"</f>
        <v>00000000</v>
      </c>
      <c r="I159" t="s">
        <v>39</v>
      </c>
      <c r="J159"/>
      <c r="K159">
        <v>381.36</v>
      </c>
      <c r="L159">
        <v>0.0</v>
      </c>
      <c r="M159"/>
      <c r="N159"/>
      <c r="O159">
        <v>68.64</v>
      </c>
      <c r="P159">
        <v>0.0</v>
      </c>
      <c r="Q159">
        <v>450.0</v>
      </c>
      <c r="R159"/>
      <c r="S159"/>
      <c r="T159"/>
      <c r="U159"/>
      <c r="V159"/>
      <c r="W159">
        <v>18</v>
      </c>
    </row>
    <row r="160" spans="1:23">
      <c r="A160"/>
      <c r="B160" t="s">
        <v>45</v>
      </c>
      <c r="C160" t="s">
        <v>45</v>
      </c>
      <c r="D160" t="s">
        <v>37</v>
      </c>
      <c r="E160" t="s">
        <v>38</v>
      </c>
      <c r="F160" t="str">
        <f>"0000275"</f>
        <v>0000275</v>
      </c>
      <c r="G160">
        <v>1</v>
      </c>
      <c r="H160" t="str">
        <f>"00000000"</f>
        <v>00000000</v>
      </c>
      <c r="I160" t="s">
        <v>39</v>
      </c>
      <c r="J160"/>
      <c r="K160">
        <v>305.08</v>
      </c>
      <c r="L160">
        <v>0.0</v>
      </c>
      <c r="M160"/>
      <c r="N160"/>
      <c r="O160">
        <v>54.92</v>
      </c>
      <c r="P160">
        <v>0.0</v>
      </c>
      <c r="Q160">
        <v>360.0</v>
      </c>
      <c r="R160"/>
      <c r="S160"/>
      <c r="T160"/>
      <c r="U160"/>
      <c r="V160"/>
      <c r="W160">
        <v>18</v>
      </c>
    </row>
    <row r="161" spans="1:23">
      <c r="A161"/>
      <c r="B161" t="s">
        <v>45</v>
      </c>
      <c r="C161" t="s">
        <v>45</v>
      </c>
      <c r="D161" t="s">
        <v>37</v>
      </c>
      <c r="E161" t="s">
        <v>38</v>
      </c>
      <c r="F161" t="str">
        <f>"0000276"</f>
        <v>0000276</v>
      </c>
      <c r="G161">
        <v>1</v>
      </c>
      <c r="H161" t="str">
        <f>"00000000"</f>
        <v>00000000</v>
      </c>
      <c r="I161" t="s">
        <v>39</v>
      </c>
      <c r="J161"/>
      <c r="K161">
        <v>381.36</v>
      </c>
      <c r="L161">
        <v>0.0</v>
      </c>
      <c r="M161"/>
      <c r="N161"/>
      <c r="O161">
        <v>68.64</v>
      </c>
      <c r="P161">
        <v>0.0</v>
      </c>
      <c r="Q161">
        <v>450.0</v>
      </c>
      <c r="R161"/>
      <c r="S161"/>
      <c r="T161"/>
      <c r="U161"/>
      <c r="V161"/>
      <c r="W161">
        <v>18</v>
      </c>
    </row>
    <row r="162" spans="1:23">
      <c r="A162"/>
      <c r="B162" t="s">
        <v>45</v>
      </c>
      <c r="C162" t="s">
        <v>45</v>
      </c>
      <c r="D162" t="s">
        <v>37</v>
      </c>
      <c r="E162" t="s">
        <v>38</v>
      </c>
      <c r="F162" t="str">
        <f>"0000277"</f>
        <v>0000277</v>
      </c>
      <c r="G162">
        <v>1</v>
      </c>
      <c r="H162" t="str">
        <f>"00000000"</f>
        <v>00000000</v>
      </c>
      <c r="I162" t="s">
        <v>39</v>
      </c>
      <c r="J162"/>
      <c r="K162">
        <v>296.61</v>
      </c>
      <c r="L162">
        <v>0.0</v>
      </c>
      <c r="M162"/>
      <c r="N162"/>
      <c r="O162">
        <v>53.39</v>
      </c>
      <c r="P162">
        <v>0.0</v>
      </c>
      <c r="Q162">
        <v>350.0</v>
      </c>
      <c r="R162"/>
      <c r="S162"/>
      <c r="T162"/>
      <c r="U162"/>
      <c r="V162"/>
      <c r="W162">
        <v>18</v>
      </c>
    </row>
    <row r="163" spans="1:23">
      <c r="A163"/>
      <c r="B163" t="s">
        <v>46</v>
      </c>
      <c r="C163" t="s">
        <v>46</v>
      </c>
      <c r="D163" t="s">
        <v>33</v>
      </c>
      <c r="E163" t="s">
        <v>34</v>
      </c>
      <c r="F163" t="str">
        <f>"0000018"</f>
        <v>0000018</v>
      </c>
      <c r="G163">
        <v>6</v>
      </c>
      <c r="H163" t="str">
        <f>"20395263952"</f>
        <v>20395263952</v>
      </c>
      <c r="I163" t="s">
        <v>47</v>
      </c>
      <c r="J163"/>
      <c r="K163">
        <v>4237.29</v>
      </c>
      <c r="L163">
        <v>0.0</v>
      </c>
      <c r="M163"/>
      <c r="N163"/>
      <c r="O163">
        <v>762.71</v>
      </c>
      <c r="P163">
        <v>0.0</v>
      </c>
      <c r="Q163">
        <v>5000.0</v>
      </c>
      <c r="R163"/>
      <c r="S163"/>
      <c r="T163"/>
      <c r="U163"/>
      <c r="V163"/>
      <c r="W163">
        <v>18</v>
      </c>
    </row>
    <row r="164" spans="1:23">
      <c r="A164"/>
      <c r="B164" t="s">
        <v>46</v>
      </c>
      <c r="C164" t="s">
        <v>46</v>
      </c>
      <c r="D164" t="s">
        <v>33</v>
      </c>
      <c r="E164" t="s">
        <v>34</v>
      </c>
      <c r="F164" t="str">
        <f>"0000019"</f>
        <v>0000019</v>
      </c>
      <c r="G164">
        <v>6</v>
      </c>
      <c r="H164" t="str">
        <f>"20395263952"</f>
        <v>20395263952</v>
      </c>
      <c r="I164" t="s">
        <v>47</v>
      </c>
      <c r="J164"/>
      <c r="K164">
        <v>4237.29</v>
      </c>
      <c r="L164">
        <v>0.0</v>
      </c>
      <c r="M164"/>
      <c r="N164"/>
      <c r="O164">
        <v>762.71</v>
      </c>
      <c r="P164">
        <v>0.0</v>
      </c>
      <c r="Q164">
        <v>5000.0</v>
      </c>
      <c r="R164"/>
      <c r="S164"/>
      <c r="T164"/>
      <c r="U164"/>
      <c r="V164"/>
      <c r="W164">
        <v>18</v>
      </c>
    </row>
    <row r="165" spans="1:23">
      <c r="A165"/>
      <c r="B165" t="s">
        <v>46</v>
      </c>
      <c r="C165" t="s">
        <v>46</v>
      </c>
      <c r="D165" t="s">
        <v>37</v>
      </c>
      <c r="E165" t="s">
        <v>38</v>
      </c>
      <c r="F165" t="str">
        <f>"0000278"</f>
        <v>0000278</v>
      </c>
      <c r="G165">
        <v>1</v>
      </c>
      <c r="H165" t="str">
        <f>"75847650"</f>
        <v>75847650</v>
      </c>
      <c r="I165" t="s">
        <v>48</v>
      </c>
      <c r="J165"/>
      <c r="K165">
        <v>272.03</v>
      </c>
      <c r="L165">
        <v>0.0</v>
      </c>
      <c r="M165"/>
      <c r="N165"/>
      <c r="O165">
        <v>48.97</v>
      </c>
      <c r="P165">
        <v>0.0</v>
      </c>
      <c r="Q165">
        <v>321.0</v>
      </c>
      <c r="R165"/>
      <c r="S165"/>
      <c r="T165"/>
      <c r="U165"/>
      <c r="V165"/>
      <c r="W165">
        <v>18</v>
      </c>
    </row>
    <row r="166" spans="1:23">
      <c r="A166"/>
      <c r="B166" t="s">
        <v>46</v>
      </c>
      <c r="C166" t="s">
        <v>46</v>
      </c>
      <c r="D166" t="s">
        <v>37</v>
      </c>
      <c r="E166" t="s">
        <v>38</v>
      </c>
      <c r="F166" t="str">
        <f>"0000279"</f>
        <v>0000279</v>
      </c>
      <c r="G166">
        <v>1</v>
      </c>
      <c r="H166" t="str">
        <f>"00000000"</f>
        <v>00000000</v>
      </c>
      <c r="I166" t="s">
        <v>39</v>
      </c>
      <c r="J166"/>
      <c r="K166">
        <v>254.24</v>
      </c>
      <c r="L166">
        <v>0.0</v>
      </c>
      <c r="M166"/>
      <c r="N166"/>
      <c r="O166">
        <v>45.76</v>
      </c>
      <c r="P166">
        <v>0.0</v>
      </c>
      <c r="Q166">
        <v>300.0</v>
      </c>
      <c r="R166"/>
      <c r="S166"/>
      <c r="T166"/>
      <c r="U166"/>
      <c r="V166"/>
      <c r="W166">
        <v>18</v>
      </c>
    </row>
    <row r="167" spans="1:23">
      <c r="A167"/>
      <c r="B167" t="s">
        <v>46</v>
      </c>
      <c r="C167" t="s">
        <v>46</v>
      </c>
      <c r="D167" t="s">
        <v>37</v>
      </c>
      <c r="E167" t="s">
        <v>38</v>
      </c>
      <c r="F167" t="str">
        <f>"0000280"</f>
        <v>0000280</v>
      </c>
      <c r="G167">
        <v>1</v>
      </c>
      <c r="H167" t="str">
        <f>"00000000"</f>
        <v>00000000</v>
      </c>
      <c r="I167" t="s">
        <v>39</v>
      </c>
      <c r="J167"/>
      <c r="K167">
        <v>364.41</v>
      </c>
      <c r="L167">
        <v>0.0</v>
      </c>
      <c r="M167"/>
      <c r="N167"/>
      <c r="O167">
        <v>65.59</v>
      </c>
      <c r="P167">
        <v>0.0</v>
      </c>
      <c r="Q167">
        <v>430.0</v>
      </c>
      <c r="R167"/>
      <c r="S167"/>
      <c r="T167"/>
      <c r="U167"/>
      <c r="V167"/>
      <c r="W167">
        <v>18</v>
      </c>
    </row>
    <row r="168" spans="1:23">
      <c r="A168"/>
      <c r="B168" t="s">
        <v>46</v>
      </c>
      <c r="C168" t="s">
        <v>46</v>
      </c>
      <c r="D168" t="s">
        <v>37</v>
      </c>
      <c r="E168" t="s">
        <v>38</v>
      </c>
      <c r="F168" t="str">
        <f>"0000281"</f>
        <v>0000281</v>
      </c>
      <c r="G168">
        <v>1</v>
      </c>
      <c r="H168" t="str">
        <f>"00000000"</f>
        <v>00000000</v>
      </c>
      <c r="I168" t="s">
        <v>39</v>
      </c>
      <c r="J168"/>
      <c r="K168">
        <v>296.61</v>
      </c>
      <c r="L168">
        <v>0.0</v>
      </c>
      <c r="M168"/>
      <c r="N168"/>
      <c r="O168">
        <v>53.39</v>
      </c>
      <c r="P168">
        <v>0.0</v>
      </c>
      <c r="Q168">
        <v>350.0</v>
      </c>
      <c r="R168"/>
      <c r="S168"/>
      <c r="T168"/>
      <c r="U168"/>
      <c r="V168"/>
      <c r="W168">
        <v>18</v>
      </c>
    </row>
    <row r="169" spans="1:23">
      <c r="A169"/>
      <c r="B169" t="s">
        <v>46</v>
      </c>
      <c r="C169" t="s">
        <v>46</v>
      </c>
      <c r="D169" t="s">
        <v>37</v>
      </c>
      <c r="E169" t="s">
        <v>38</v>
      </c>
      <c r="F169" t="str">
        <f>"0000282"</f>
        <v>0000282</v>
      </c>
      <c r="G169">
        <v>1</v>
      </c>
      <c r="H169" t="str">
        <f>"00000000"</f>
        <v>00000000</v>
      </c>
      <c r="I169" t="s">
        <v>39</v>
      </c>
      <c r="J169"/>
      <c r="K169">
        <v>296.61</v>
      </c>
      <c r="L169">
        <v>0.0</v>
      </c>
      <c r="M169"/>
      <c r="N169"/>
      <c r="O169">
        <v>53.39</v>
      </c>
      <c r="P169">
        <v>0.0</v>
      </c>
      <c r="Q169">
        <v>350.0</v>
      </c>
      <c r="R169"/>
      <c r="S169"/>
      <c r="T169"/>
      <c r="U169"/>
      <c r="V169"/>
      <c r="W169">
        <v>18</v>
      </c>
    </row>
    <row r="170" spans="1:23">
      <c r="A170"/>
      <c r="B170" t="s">
        <v>46</v>
      </c>
      <c r="C170" t="s">
        <v>46</v>
      </c>
      <c r="D170" t="s">
        <v>37</v>
      </c>
      <c r="E170" t="s">
        <v>38</v>
      </c>
      <c r="F170" t="str">
        <f>"0000283"</f>
        <v>0000283</v>
      </c>
      <c r="G170">
        <v>1</v>
      </c>
      <c r="H170" t="str">
        <f>"00000000"</f>
        <v>00000000</v>
      </c>
      <c r="I170" t="s">
        <v>39</v>
      </c>
      <c r="J170"/>
      <c r="K170">
        <v>377.12</v>
      </c>
      <c r="L170">
        <v>0.0</v>
      </c>
      <c r="M170"/>
      <c r="N170"/>
      <c r="O170">
        <v>67.88</v>
      </c>
      <c r="P170">
        <v>0.0</v>
      </c>
      <c r="Q170">
        <v>445.0</v>
      </c>
      <c r="R170"/>
      <c r="S170"/>
      <c r="T170"/>
      <c r="U170"/>
      <c r="V170"/>
      <c r="W170">
        <v>18</v>
      </c>
    </row>
    <row r="171" spans="1:23">
      <c r="A171"/>
      <c r="B171" t="s">
        <v>46</v>
      </c>
      <c r="C171" t="s">
        <v>46</v>
      </c>
      <c r="D171" t="s">
        <v>37</v>
      </c>
      <c r="E171" t="s">
        <v>38</v>
      </c>
      <c r="F171" t="str">
        <f>"0000284"</f>
        <v>0000284</v>
      </c>
      <c r="G171">
        <v>1</v>
      </c>
      <c r="H171" t="str">
        <f>"00000000"</f>
        <v>00000000</v>
      </c>
      <c r="I171" t="s">
        <v>39</v>
      </c>
      <c r="J171"/>
      <c r="K171">
        <v>322.03</v>
      </c>
      <c r="L171">
        <v>0.0</v>
      </c>
      <c r="M171"/>
      <c r="N171"/>
      <c r="O171">
        <v>57.97</v>
      </c>
      <c r="P171">
        <v>0.0</v>
      </c>
      <c r="Q171">
        <v>380.0</v>
      </c>
      <c r="R171"/>
      <c r="S171"/>
      <c r="T171"/>
      <c r="U171"/>
      <c r="V171"/>
      <c r="W171">
        <v>18</v>
      </c>
    </row>
    <row r="172" spans="1:23">
      <c r="A172"/>
      <c r="B172" t="s">
        <v>46</v>
      </c>
      <c r="C172" t="s">
        <v>46</v>
      </c>
      <c r="D172" t="s">
        <v>37</v>
      </c>
      <c r="E172" t="s">
        <v>38</v>
      </c>
      <c r="F172" t="str">
        <f>"0000285"</f>
        <v>0000285</v>
      </c>
      <c r="G172">
        <v>1</v>
      </c>
      <c r="H172" t="str">
        <f>"00000000"</f>
        <v>00000000</v>
      </c>
      <c r="I172" t="s">
        <v>39</v>
      </c>
      <c r="J172"/>
      <c r="K172">
        <v>275.42</v>
      </c>
      <c r="L172">
        <v>0.0</v>
      </c>
      <c r="M172"/>
      <c r="N172"/>
      <c r="O172">
        <v>49.58</v>
      </c>
      <c r="P172">
        <v>0.0</v>
      </c>
      <c r="Q172">
        <v>325.0</v>
      </c>
      <c r="R172"/>
      <c r="S172"/>
      <c r="T172"/>
      <c r="U172"/>
      <c r="V172"/>
      <c r="W172">
        <v>18</v>
      </c>
    </row>
    <row r="173" spans="1:23">
      <c r="A173"/>
      <c r="B173" t="s">
        <v>46</v>
      </c>
      <c r="C173" t="s">
        <v>46</v>
      </c>
      <c r="D173" t="s">
        <v>37</v>
      </c>
      <c r="E173" t="s">
        <v>38</v>
      </c>
      <c r="F173" t="str">
        <f>"0000286"</f>
        <v>0000286</v>
      </c>
      <c r="G173">
        <v>1</v>
      </c>
      <c r="H173" t="str">
        <f>"00000000"</f>
        <v>00000000</v>
      </c>
      <c r="I173" t="s">
        <v>39</v>
      </c>
      <c r="J173"/>
      <c r="K173">
        <v>296.61</v>
      </c>
      <c r="L173">
        <v>0.0</v>
      </c>
      <c r="M173"/>
      <c r="N173"/>
      <c r="O173">
        <v>53.39</v>
      </c>
      <c r="P173">
        <v>0.0</v>
      </c>
      <c r="Q173">
        <v>350.0</v>
      </c>
      <c r="R173"/>
      <c r="S173"/>
      <c r="T173"/>
      <c r="U173"/>
      <c r="V173"/>
      <c r="W173">
        <v>18</v>
      </c>
    </row>
    <row r="174" spans="1:23">
      <c r="A174"/>
      <c r="B174" t="s">
        <v>46</v>
      </c>
      <c r="C174" t="s">
        <v>46</v>
      </c>
      <c r="D174" t="s">
        <v>33</v>
      </c>
      <c r="E174" t="s">
        <v>34</v>
      </c>
      <c r="F174" t="str">
        <f>"0000020"</f>
        <v>0000020</v>
      </c>
      <c r="G174">
        <v>6</v>
      </c>
      <c r="H174" t="str">
        <f>"20561143782"</f>
        <v>20561143782</v>
      </c>
      <c r="I174" t="s">
        <v>49</v>
      </c>
      <c r="J174"/>
      <c r="K174">
        <v>1483.05</v>
      </c>
      <c r="L174">
        <v>0.0</v>
      </c>
      <c r="M174"/>
      <c r="N174"/>
      <c r="O174">
        <v>266.95</v>
      </c>
      <c r="P174">
        <v>0.0</v>
      </c>
      <c r="Q174">
        <v>1750.0</v>
      </c>
      <c r="R174"/>
      <c r="S174"/>
      <c r="T174"/>
      <c r="U174"/>
      <c r="V174"/>
      <c r="W174">
        <v>18</v>
      </c>
    </row>
    <row r="175" spans="1:23">
      <c r="A175"/>
      <c r="B175" t="s">
        <v>46</v>
      </c>
      <c r="C175" t="s">
        <v>46</v>
      </c>
      <c r="D175" t="s">
        <v>33</v>
      </c>
      <c r="E175" t="s">
        <v>34</v>
      </c>
      <c r="F175" t="str">
        <f>"0000021"</f>
        <v>0000021</v>
      </c>
      <c r="G175">
        <v>6</v>
      </c>
      <c r="H175" t="str">
        <f>"20561143782"</f>
        <v>20561143782</v>
      </c>
      <c r="I175" t="s">
        <v>49</v>
      </c>
      <c r="J175"/>
      <c r="K175">
        <v>1548.31</v>
      </c>
      <c r="L175">
        <v>0.0</v>
      </c>
      <c r="M175"/>
      <c r="N175"/>
      <c r="O175">
        <v>278.69</v>
      </c>
      <c r="P175">
        <v>0.0</v>
      </c>
      <c r="Q175">
        <v>1827.0</v>
      </c>
      <c r="R175"/>
      <c r="S175"/>
      <c r="T175"/>
      <c r="U175"/>
      <c r="V175"/>
      <c r="W175">
        <v>18</v>
      </c>
    </row>
    <row r="176" spans="1:23">
      <c r="A176"/>
      <c r="B176" t="s">
        <v>46</v>
      </c>
      <c r="C176" t="s">
        <v>46</v>
      </c>
      <c r="D176" t="s">
        <v>37</v>
      </c>
      <c r="E176" t="s">
        <v>38</v>
      </c>
      <c r="F176" t="str">
        <f>"0000287"</f>
        <v>0000287</v>
      </c>
      <c r="G176">
        <v>1</v>
      </c>
      <c r="H176" t="str">
        <f>"00000000"</f>
        <v>00000000</v>
      </c>
      <c r="I176" t="s">
        <v>39</v>
      </c>
      <c r="J176"/>
      <c r="K176">
        <v>271.19</v>
      </c>
      <c r="L176">
        <v>0.0</v>
      </c>
      <c r="M176"/>
      <c r="N176"/>
      <c r="O176">
        <v>48.81</v>
      </c>
      <c r="P176">
        <v>0.0</v>
      </c>
      <c r="Q176">
        <v>320.0</v>
      </c>
      <c r="R176"/>
      <c r="S176"/>
      <c r="T176"/>
      <c r="U176"/>
      <c r="V176"/>
      <c r="W176">
        <v>18</v>
      </c>
    </row>
    <row r="177" spans="1:23">
      <c r="A177"/>
      <c r="B177" t="s">
        <v>46</v>
      </c>
      <c r="C177" t="s">
        <v>46</v>
      </c>
      <c r="D177" t="s">
        <v>37</v>
      </c>
      <c r="E177" t="s">
        <v>38</v>
      </c>
      <c r="F177" t="str">
        <f>"0000288"</f>
        <v>0000288</v>
      </c>
      <c r="G177">
        <v>1</v>
      </c>
      <c r="H177" t="str">
        <f>"00000000"</f>
        <v>00000000</v>
      </c>
      <c r="I177" t="s">
        <v>39</v>
      </c>
      <c r="J177"/>
      <c r="K177">
        <v>355.93</v>
      </c>
      <c r="L177">
        <v>0.0</v>
      </c>
      <c r="M177"/>
      <c r="N177"/>
      <c r="O177">
        <v>64.07</v>
      </c>
      <c r="P177">
        <v>0.0</v>
      </c>
      <c r="Q177">
        <v>420.0</v>
      </c>
      <c r="R177"/>
      <c r="S177"/>
      <c r="T177"/>
      <c r="U177"/>
      <c r="V177"/>
      <c r="W177">
        <v>18</v>
      </c>
    </row>
    <row r="178" spans="1:23">
      <c r="A178"/>
      <c r="B178" t="s">
        <v>46</v>
      </c>
      <c r="C178" t="s">
        <v>46</v>
      </c>
      <c r="D178" t="s">
        <v>37</v>
      </c>
      <c r="E178" t="s">
        <v>38</v>
      </c>
      <c r="F178" t="str">
        <f>"0000289"</f>
        <v>0000289</v>
      </c>
      <c r="G178">
        <v>1</v>
      </c>
      <c r="H178" t="str">
        <f>"00000000"</f>
        <v>00000000</v>
      </c>
      <c r="I178" t="s">
        <v>39</v>
      </c>
      <c r="J178"/>
      <c r="K178">
        <v>177.97</v>
      </c>
      <c r="L178">
        <v>0.0</v>
      </c>
      <c r="M178"/>
      <c r="N178"/>
      <c r="O178">
        <v>32.03</v>
      </c>
      <c r="P178">
        <v>0.0</v>
      </c>
      <c r="Q178">
        <v>210.0</v>
      </c>
      <c r="R178"/>
      <c r="S178"/>
      <c r="T178"/>
      <c r="U178"/>
      <c r="V178"/>
      <c r="W178">
        <v>18</v>
      </c>
    </row>
    <row r="179" spans="1:23">
      <c r="A179"/>
      <c r="B179" t="s">
        <v>46</v>
      </c>
      <c r="C179" t="s">
        <v>46</v>
      </c>
      <c r="D179" t="s">
        <v>37</v>
      </c>
      <c r="E179" t="s">
        <v>38</v>
      </c>
      <c r="F179" t="str">
        <f>"0000290"</f>
        <v>0000290</v>
      </c>
      <c r="G179">
        <v>1</v>
      </c>
      <c r="H179" t="str">
        <f>"00000000"</f>
        <v>00000000</v>
      </c>
      <c r="I179" t="s">
        <v>39</v>
      </c>
      <c r="J179"/>
      <c r="K179">
        <v>296.61</v>
      </c>
      <c r="L179">
        <v>0.0</v>
      </c>
      <c r="M179"/>
      <c r="N179"/>
      <c r="O179">
        <v>53.39</v>
      </c>
      <c r="P179">
        <v>0.0</v>
      </c>
      <c r="Q179">
        <v>350.0</v>
      </c>
      <c r="R179"/>
      <c r="S179"/>
      <c r="T179"/>
      <c r="U179"/>
      <c r="V179"/>
      <c r="W179">
        <v>18</v>
      </c>
    </row>
    <row r="180" spans="1:23">
      <c r="A180"/>
      <c r="B180" t="s">
        <v>46</v>
      </c>
      <c r="C180" t="s">
        <v>46</v>
      </c>
      <c r="D180" t="s">
        <v>37</v>
      </c>
      <c r="E180" t="s">
        <v>38</v>
      </c>
      <c r="F180" t="str">
        <f>"0000291"</f>
        <v>0000291</v>
      </c>
      <c r="G180">
        <v>1</v>
      </c>
      <c r="H180" t="str">
        <f>"00000000"</f>
        <v>00000000</v>
      </c>
      <c r="I180" t="s">
        <v>39</v>
      </c>
      <c r="J180"/>
      <c r="K180">
        <v>338.98</v>
      </c>
      <c r="L180">
        <v>0.0</v>
      </c>
      <c r="M180"/>
      <c r="N180"/>
      <c r="O180">
        <v>61.02</v>
      </c>
      <c r="P180">
        <v>0.0</v>
      </c>
      <c r="Q180">
        <v>400.0</v>
      </c>
      <c r="R180"/>
      <c r="S180"/>
      <c r="T180"/>
      <c r="U180"/>
      <c r="V180"/>
      <c r="W180">
        <v>18</v>
      </c>
    </row>
    <row r="181" spans="1:23">
      <c r="A181"/>
      <c r="B181" t="s">
        <v>46</v>
      </c>
      <c r="C181" t="s">
        <v>46</v>
      </c>
      <c r="D181" t="s">
        <v>37</v>
      </c>
      <c r="E181" t="s">
        <v>38</v>
      </c>
      <c r="F181" t="str">
        <f>"0000292"</f>
        <v>0000292</v>
      </c>
      <c r="G181">
        <v>1</v>
      </c>
      <c r="H181" t="str">
        <f>"00000000"</f>
        <v>00000000</v>
      </c>
      <c r="I181" t="s">
        <v>39</v>
      </c>
      <c r="J181"/>
      <c r="K181">
        <v>220.34</v>
      </c>
      <c r="L181">
        <v>0.0</v>
      </c>
      <c r="M181"/>
      <c r="N181"/>
      <c r="O181">
        <v>39.66</v>
      </c>
      <c r="P181">
        <v>0.0</v>
      </c>
      <c r="Q181">
        <v>260.0</v>
      </c>
      <c r="R181"/>
      <c r="S181"/>
      <c r="T181"/>
      <c r="U181"/>
      <c r="V181"/>
      <c r="W181">
        <v>18</v>
      </c>
    </row>
    <row r="182" spans="1:23">
      <c r="A182"/>
      <c r="B182" t="s">
        <v>46</v>
      </c>
      <c r="C182" t="s">
        <v>46</v>
      </c>
      <c r="D182" t="s">
        <v>37</v>
      </c>
      <c r="E182" t="s">
        <v>38</v>
      </c>
      <c r="F182" t="str">
        <f>"0000293"</f>
        <v>0000293</v>
      </c>
      <c r="G182">
        <v>1</v>
      </c>
      <c r="H182" t="str">
        <f>"00000000"</f>
        <v>00000000</v>
      </c>
      <c r="I182" t="s">
        <v>39</v>
      </c>
      <c r="J182"/>
      <c r="K182">
        <v>288.14</v>
      </c>
      <c r="L182">
        <v>0.0</v>
      </c>
      <c r="M182"/>
      <c r="N182"/>
      <c r="O182">
        <v>51.86</v>
      </c>
      <c r="P182">
        <v>0.0</v>
      </c>
      <c r="Q182">
        <v>340.0</v>
      </c>
      <c r="R182"/>
      <c r="S182"/>
      <c r="T182"/>
      <c r="U182"/>
      <c r="V182"/>
      <c r="W182">
        <v>18</v>
      </c>
    </row>
    <row r="183" spans="1:23">
      <c r="A183"/>
      <c r="B183" t="s">
        <v>46</v>
      </c>
      <c r="C183" t="s">
        <v>46</v>
      </c>
      <c r="D183" t="s">
        <v>37</v>
      </c>
      <c r="E183" t="s">
        <v>38</v>
      </c>
      <c r="F183" t="str">
        <f>"0000294"</f>
        <v>0000294</v>
      </c>
      <c r="G183">
        <v>1</v>
      </c>
      <c r="H183" t="str">
        <f>"00000000"</f>
        <v>00000000</v>
      </c>
      <c r="I183" t="s">
        <v>39</v>
      </c>
      <c r="J183"/>
      <c r="K183">
        <v>338.98</v>
      </c>
      <c r="L183">
        <v>0.0</v>
      </c>
      <c r="M183"/>
      <c r="N183"/>
      <c r="O183">
        <v>61.02</v>
      </c>
      <c r="P183">
        <v>0.0</v>
      </c>
      <c r="Q183">
        <v>400.0</v>
      </c>
      <c r="R183"/>
      <c r="S183"/>
      <c r="T183"/>
      <c r="U183"/>
      <c r="V183"/>
      <c r="W183">
        <v>18</v>
      </c>
    </row>
    <row r="184" spans="1:23">
      <c r="A184"/>
      <c r="B184" t="s">
        <v>46</v>
      </c>
      <c r="C184" t="s">
        <v>46</v>
      </c>
      <c r="D184" t="s">
        <v>37</v>
      </c>
      <c r="E184" t="s">
        <v>38</v>
      </c>
      <c r="F184" t="str">
        <f>"0000295"</f>
        <v>0000295</v>
      </c>
      <c r="G184">
        <v>1</v>
      </c>
      <c r="H184" t="str">
        <f>"00000000"</f>
        <v>00000000</v>
      </c>
      <c r="I184" t="s">
        <v>39</v>
      </c>
      <c r="J184"/>
      <c r="K184">
        <v>211.86</v>
      </c>
      <c r="L184">
        <v>0.0</v>
      </c>
      <c r="M184"/>
      <c r="N184"/>
      <c r="O184">
        <v>38.14</v>
      </c>
      <c r="P184">
        <v>0.0</v>
      </c>
      <c r="Q184">
        <v>250.0</v>
      </c>
      <c r="R184"/>
      <c r="S184"/>
      <c r="T184"/>
      <c r="U184"/>
      <c r="V184"/>
      <c r="W184">
        <v>18</v>
      </c>
    </row>
    <row r="185" spans="1:23">
      <c r="A185"/>
      <c r="B185" t="s">
        <v>50</v>
      </c>
      <c r="C185" t="s">
        <v>50</v>
      </c>
      <c r="D185" t="s">
        <v>37</v>
      </c>
      <c r="E185" t="s">
        <v>38</v>
      </c>
      <c r="F185" t="str">
        <f>"0000296"</f>
        <v>0000296</v>
      </c>
      <c r="G185">
        <v>1</v>
      </c>
      <c r="H185" t="str">
        <f>"00000000"</f>
        <v>00000000</v>
      </c>
      <c r="I185" t="s">
        <v>39</v>
      </c>
      <c r="J185"/>
      <c r="K185">
        <v>394.07</v>
      </c>
      <c r="L185">
        <v>0.0</v>
      </c>
      <c r="M185"/>
      <c r="N185"/>
      <c r="O185">
        <v>70.93</v>
      </c>
      <c r="P185">
        <v>0.0</v>
      </c>
      <c r="Q185">
        <v>465.0</v>
      </c>
      <c r="R185"/>
      <c r="S185"/>
      <c r="T185"/>
      <c r="U185"/>
      <c r="V185"/>
      <c r="W185">
        <v>18</v>
      </c>
    </row>
    <row r="186" spans="1:23">
      <c r="A186"/>
      <c r="B186" t="s">
        <v>50</v>
      </c>
      <c r="C186" t="s">
        <v>50</v>
      </c>
      <c r="D186" t="s">
        <v>33</v>
      </c>
      <c r="E186" t="s">
        <v>34</v>
      </c>
      <c r="F186" t="str">
        <f>"0000022"</f>
        <v>0000022</v>
      </c>
      <c r="G186">
        <v>6</v>
      </c>
      <c r="H186" t="str">
        <f>"20479378763"</f>
        <v>20479378763</v>
      </c>
      <c r="I186" t="s">
        <v>51</v>
      </c>
      <c r="J186"/>
      <c r="K186">
        <v>262.71</v>
      </c>
      <c r="L186">
        <v>0.0</v>
      </c>
      <c r="M186"/>
      <c r="N186"/>
      <c r="O186">
        <v>47.29</v>
      </c>
      <c r="P186">
        <v>0.0</v>
      </c>
      <c r="Q186">
        <v>310.0</v>
      </c>
      <c r="R186"/>
      <c r="S186"/>
      <c r="T186"/>
      <c r="U186"/>
      <c r="V186"/>
      <c r="W186">
        <v>18</v>
      </c>
    </row>
    <row r="187" spans="1:23">
      <c r="A187"/>
      <c r="B187" t="s">
        <v>50</v>
      </c>
      <c r="C187" t="s">
        <v>50</v>
      </c>
      <c r="D187" t="s">
        <v>37</v>
      </c>
      <c r="E187" t="s">
        <v>38</v>
      </c>
      <c r="F187" t="str">
        <f>"0000297"</f>
        <v>0000297</v>
      </c>
      <c r="G187">
        <v>1</v>
      </c>
      <c r="H187" t="str">
        <f>"00000000"</f>
        <v>00000000</v>
      </c>
      <c r="I187" t="s">
        <v>39</v>
      </c>
      <c r="J187"/>
      <c r="K187">
        <v>322.03</v>
      </c>
      <c r="L187">
        <v>0.0</v>
      </c>
      <c r="M187"/>
      <c r="N187"/>
      <c r="O187">
        <v>57.97</v>
      </c>
      <c r="P187">
        <v>0.0</v>
      </c>
      <c r="Q187">
        <v>380.0</v>
      </c>
      <c r="R187"/>
      <c r="S187"/>
      <c r="T187"/>
      <c r="U187"/>
      <c r="V187"/>
      <c r="W187">
        <v>18</v>
      </c>
    </row>
    <row r="188" spans="1:23">
      <c r="A188"/>
      <c r="B188" t="s">
        <v>50</v>
      </c>
      <c r="C188" t="s">
        <v>50</v>
      </c>
      <c r="D188" t="s">
        <v>37</v>
      </c>
      <c r="E188" t="s">
        <v>38</v>
      </c>
      <c r="F188" t="str">
        <f>"0000298"</f>
        <v>0000298</v>
      </c>
      <c r="G188">
        <v>1</v>
      </c>
      <c r="H188" t="str">
        <f>"00000000"</f>
        <v>00000000</v>
      </c>
      <c r="I188" t="s">
        <v>39</v>
      </c>
      <c r="J188"/>
      <c r="K188">
        <v>254.24</v>
      </c>
      <c r="L188">
        <v>0.0</v>
      </c>
      <c r="M188"/>
      <c r="N188"/>
      <c r="O188">
        <v>45.76</v>
      </c>
      <c r="P188">
        <v>0.0</v>
      </c>
      <c r="Q188">
        <v>300.0</v>
      </c>
      <c r="R188"/>
      <c r="S188"/>
      <c r="T188"/>
      <c r="U188"/>
      <c r="V188"/>
      <c r="W188">
        <v>18</v>
      </c>
    </row>
    <row r="189" spans="1:23">
      <c r="A189"/>
      <c r="B189" t="s">
        <v>50</v>
      </c>
      <c r="C189" t="s">
        <v>50</v>
      </c>
      <c r="D189" t="s">
        <v>37</v>
      </c>
      <c r="E189" t="s">
        <v>38</v>
      </c>
      <c r="F189" t="str">
        <f>"0000299"</f>
        <v>0000299</v>
      </c>
      <c r="G189">
        <v>1</v>
      </c>
      <c r="H189" t="str">
        <f>"00000000"</f>
        <v>00000000</v>
      </c>
      <c r="I189" t="s">
        <v>39</v>
      </c>
      <c r="J189"/>
      <c r="K189">
        <v>296.61</v>
      </c>
      <c r="L189">
        <v>0.0</v>
      </c>
      <c r="M189"/>
      <c r="N189"/>
      <c r="O189">
        <v>53.39</v>
      </c>
      <c r="P189">
        <v>0.0</v>
      </c>
      <c r="Q189">
        <v>350.0</v>
      </c>
      <c r="R189"/>
      <c r="S189"/>
      <c r="T189"/>
      <c r="U189"/>
      <c r="V189"/>
      <c r="W189">
        <v>18</v>
      </c>
    </row>
    <row r="190" spans="1:23">
      <c r="A190"/>
      <c r="B190" t="s">
        <v>50</v>
      </c>
      <c r="C190" t="s">
        <v>50</v>
      </c>
      <c r="D190" t="s">
        <v>37</v>
      </c>
      <c r="E190" t="s">
        <v>38</v>
      </c>
      <c r="F190" t="str">
        <f>"0000300"</f>
        <v>0000300</v>
      </c>
      <c r="G190">
        <v>1</v>
      </c>
      <c r="H190" t="str">
        <f>"00000000"</f>
        <v>00000000</v>
      </c>
      <c r="I190" t="s">
        <v>39</v>
      </c>
      <c r="J190"/>
      <c r="K190">
        <v>338.98</v>
      </c>
      <c r="L190">
        <v>0.0</v>
      </c>
      <c r="M190"/>
      <c r="N190"/>
      <c r="O190">
        <v>61.02</v>
      </c>
      <c r="P190">
        <v>0.0</v>
      </c>
      <c r="Q190">
        <v>400.0</v>
      </c>
      <c r="R190"/>
      <c r="S190"/>
      <c r="T190"/>
      <c r="U190"/>
      <c r="V190"/>
      <c r="W190">
        <v>18</v>
      </c>
    </row>
    <row r="191" spans="1:23">
      <c r="A191"/>
      <c r="B191" t="s">
        <v>50</v>
      </c>
      <c r="C191" t="s">
        <v>50</v>
      </c>
      <c r="D191" t="s">
        <v>37</v>
      </c>
      <c r="E191" t="s">
        <v>38</v>
      </c>
      <c r="F191" t="str">
        <f>"0000301"</f>
        <v>0000301</v>
      </c>
      <c r="G191">
        <v>1</v>
      </c>
      <c r="H191" t="str">
        <f>"00000000"</f>
        <v>00000000</v>
      </c>
      <c r="I191" t="s">
        <v>39</v>
      </c>
      <c r="J191"/>
      <c r="K191">
        <v>338.98</v>
      </c>
      <c r="L191">
        <v>0.0</v>
      </c>
      <c r="M191"/>
      <c r="N191"/>
      <c r="O191">
        <v>61.02</v>
      </c>
      <c r="P191">
        <v>0.0</v>
      </c>
      <c r="Q191">
        <v>400.0</v>
      </c>
      <c r="R191"/>
      <c r="S191"/>
      <c r="T191"/>
      <c r="U191"/>
      <c r="V191"/>
      <c r="W191">
        <v>18</v>
      </c>
    </row>
    <row r="192" spans="1:23">
      <c r="A192"/>
      <c r="B192" t="s">
        <v>50</v>
      </c>
      <c r="C192" t="s">
        <v>50</v>
      </c>
      <c r="D192" t="s">
        <v>37</v>
      </c>
      <c r="E192" t="s">
        <v>38</v>
      </c>
      <c r="F192" t="str">
        <f>"0000302"</f>
        <v>0000302</v>
      </c>
      <c r="G192">
        <v>1</v>
      </c>
      <c r="H192" t="str">
        <f>"00000000"</f>
        <v>00000000</v>
      </c>
      <c r="I192" t="s">
        <v>39</v>
      </c>
      <c r="J192"/>
      <c r="K192">
        <v>296.61</v>
      </c>
      <c r="L192">
        <v>0.0</v>
      </c>
      <c r="M192"/>
      <c r="N192"/>
      <c r="O192">
        <v>53.39</v>
      </c>
      <c r="P192">
        <v>0.0</v>
      </c>
      <c r="Q192">
        <v>350.0</v>
      </c>
      <c r="R192"/>
      <c r="S192"/>
      <c r="T192"/>
      <c r="U192"/>
      <c r="V192"/>
      <c r="W192">
        <v>18</v>
      </c>
    </row>
    <row r="193" spans="1:23">
      <c r="A193"/>
      <c r="B193" t="s">
        <v>50</v>
      </c>
      <c r="C193" t="s">
        <v>50</v>
      </c>
      <c r="D193" t="s">
        <v>37</v>
      </c>
      <c r="E193" t="s">
        <v>38</v>
      </c>
      <c r="F193" t="str">
        <f>"0000303"</f>
        <v>0000303</v>
      </c>
      <c r="G193">
        <v>1</v>
      </c>
      <c r="H193" t="str">
        <f>"00000000"</f>
        <v>00000000</v>
      </c>
      <c r="I193" t="s">
        <v>39</v>
      </c>
      <c r="J193"/>
      <c r="K193">
        <v>377.12</v>
      </c>
      <c r="L193">
        <v>0.0</v>
      </c>
      <c r="M193"/>
      <c r="N193"/>
      <c r="O193">
        <v>67.88</v>
      </c>
      <c r="P193">
        <v>0.0</v>
      </c>
      <c r="Q193">
        <v>445.0</v>
      </c>
      <c r="R193"/>
      <c r="S193"/>
      <c r="T193"/>
      <c r="U193"/>
      <c r="V193"/>
      <c r="W193">
        <v>18</v>
      </c>
    </row>
    <row r="194" spans="1:23">
      <c r="A194"/>
      <c r="B194" t="s">
        <v>50</v>
      </c>
      <c r="C194" t="s">
        <v>50</v>
      </c>
      <c r="D194" t="s">
        <v>37</v>
      </c>
      <c r="E194" t="s">
        <v>38</v>
      </c>
      <c r="F194" t="str">
        <f>"0000304"</f>
        <v>0000304</v>
      </c>
      <c r="G194">
        <v>1</v>
      </c>
      <c r="H194" t="str">
        <f>"00000000"</f>
        <v>00000000</v>
      </c>
      <c r="I194" t="s">
        <v>39</v>
      </c>
      <c r="J194"/>
      <c r="K194">
        <v>296.61</v>
      </c>
      <c r="L194">
        <v>0.0</v>
      </c>
      <c r="M194"/>
      <c r="N194"/>
      <c r="O194">
        <v>53.39</v>
      </c>
      <c r="P194">
        <v>0.0</v>
      </c>
      <c r="Q194">
        <v>350.0</v>
      </c>
      <c r="R194"/>
      <c r="S194"/>
      <c r="T194"/>
      <c r="U194"/>
      <c r="V194"/>
      <c r="W194">
        <v>18</v>
      </c>
    </row>
    <row r="195" spans="1:23">
      <c r="A195"/>
      <c r="B195" t="s">
        <v>50</v>
      </c>
      <c r="C195" t="s">
        <v>50</v>
      </c>
      <c r="D195" t="s">
        <v>37</v>
      </c>
      <c r="E195" t="s">
        <v>38</v>
      </c>
      <c r="F195" t="str">
        <f>"0000305"</f>
        <v>0000305</v>
      </c>
      <c r="G195">
        <v>1</v>
      </c>
      <c r="H195" t="str">
        <f>"00000000"</f>
        <v>00000000</v>
      </c>
      <c r="I195" t="s">
        <v>39</v>
      </c>
      <c r="J195"/>
      <c r="K195">
        <v>364.41</v>
      </c>
      <c r="L195">
        <v>0.0</v>
      </c>
      <c r="M195"/>
      <c r="N195"/>
      <c r="O195">
        <v>65.59</v>
      </c>
      <c r="P195">
        <v>0.0</v>
      </c>
      <c r="Q195">
        <v>430.0</v>
      </c>
      <c r="R195"/>
      <c r="S195"/>
      <c r="T195"/>
      <c r="U195"/>
      <c r="V195"/>
      <c r="W195">
        <v>18</v>
      </c>
    </row>
    <row r="196" spans="1:23">
      <c r="A196"/>
      <c r="B196" t="s">
        <v>50</v>
      </c>
      <c r="C196" t="s">
        <v>50</v>
      </c>
      <c r="D196" t="s">
        <v>37</v>
      </c>
      <c r="E196" t="s">
        <v>38</v>
      </c>
      <c r="F196" t="str">
        <f>"0000306"</f>
        <v>0000306</v>
      </c>
      <c r="G196">
        <v>1</v>
      </c>
      <c r="H196" t="str">
        <f>"00000000"</f>
        <v>00000000</v>
      </c>
      <c r="I196" t="s">
        <v>39</v>
      </c>
      <c r="J196"/>
      <c r="K196">
        <v>305.08</v>
      </c>
      <c r="L196">
        <v>0.0</v>
      </c>
      <c r="M196"/>
      <c r="N196"/>
      <c r="O196">
        <v>54.92</v>
      </c>
      <c r="P196">
        <v>0.0</v>
      </c>
      <c r="Q196">
        <v>360.0</v>
      </c>
      <c r="R196"/>
      <c r="S196"/>
      <c r="T196"/>
      <c r="U196"/>
      <c r="V196"/>
      <c r="W196">
        <v>18</v>
      </c>
    </row>
    <row r="197" spans="1:23">
      <c r="A197"/>
      <c r="B197" t="s">
        <v>50</v>
      </c>
      <c r="C197" t="s">
        <v>50</v>
      </c>
      <c r="D197" t="s">
        <v>37</v>
      </c>
      <c r="E197" t="s">
        <v>38</v>
      </c>
      <c r="F197" t="str">
        <f>"0000307"</f>
        <v>0000307</v>
      </c>
      <c r="G197">
        <v>1</v>
      </c>
      <c r="H197" t="str">
        <f>"00000000"</f>
        <v>00000000</v>
      </c>
      <c r="I197" t="s">
        <v>39</v>
      </c>
      <c r="J197"/>
      <c r="K197">
        <v>296.61</v>
      </c>
      <c r="L197">
        <v>0.0</v>
      </c>
      <c r="M197"/>
      <c r="N197"/>
      <c r="O197">
        <v>53.39</v>
      </c>
      <c r="P197">
        <v>0.0</v>
      </c>
      <c r="Q197">
        <v>350.0</v>
      </c>
      <c r="R197"/>
      <c r="S197"/>
      <c r="T197"/>
      <c r="U197"/>
      <c r="V197"/>
      <c r="W197">
        <v>18</v>
      </c>
    </row>
    <row r="198" spans="1:23">
      <c r="A198"/>
      <c r="B198" t="s">
        <v>50</v>
      </c>
      <c r="C198" t="s">
        <v>50</v>
      </c>
      <c r="D198" t="s">
        <v>37</v>
      </c>
      <c r="E198" t="s">
        <v>38</v>
      </c>
      <c r="F198" t="str">
        <f>"0000308"</f>
        <v>0000308</v>
      </c>
      <c r="G198">
        <v>1</v>
      </c>
      <c r="H198" t="str">
        <f>"00000000"</f>
        <v>00000000</v>
      </c>
      <c r="I198" t="s">
        <v>39</v>
      </c>
      <c r="J198"/>
      <c r="K198">
        <v>271.19</v>
      </c>
      <c r="L198">
        <v>0.0</v>
      </c>
      <c r="M198"/>
      <c r="N198"/>
      <c r="O198">
        <v>48.81</v>
      </c>
      <c r="P198">
        <v>0.0</v>
      </c>
      <c r="Q198">
        <v>320.0</v>
      </c>
      <c r="R198"/>
      <c r="S198"/>
      <c r="T198"/>
      <c r="U198"/>
      <c r="V198"/>
      <c r="W198">
        <v>18</v>
      </c>
    </row>
    <row r="199" spans="1:23">
      <c r="A199"/>
      <c r="B199" t="s">
        <v>50</v>
      </c>
      <c r="C199" t="s">
        <v>50</v>
      </c>
      <c r="D199" t="s">
        <v>37</v>
      </c>
      <c r="E199" t="s">
        <v>38</v>
      </c>
      <c r="F199" t="str">
        <f>"0000309"</f>
        <v>0000309</v>
      </c>
      <c r="G199">
        <v>1</v>
      </c>
      <c r="H199" t="str">
        <f>"00000000"</f>
        <v>00000000</v>
      </c>
      <c r="I199" t="s">
        <v>39</v>
      </c>
      <c r="J199"/>
      <c r="K199">
        <v>355.93</v>
      </c>
      <c r="L199">
        <v>0.0</v>
      </c>
      <c r="M199"/>
      <c r="N199"/>
      <c r="O199">
        <v>64.07</v>
      </c>
      <c r="P199">
        <v>0.0</v>
      </c>
      <c r="Q199">
        <v>420.0</v>
      </c>
      <c r="R199"/>
      <c r="S199"/>
      <c r="T199"/>
      <c r="U199"/>
      <c r="V199"/>
      <c r="W199">
        <v>18</v>
      </c>
    </row>
    <row r="200" spans="1:23">
      <c r="A200"/>
      <c r="B200" t="s">
        <v>50</v>
      </c>
      <c r="C200" t="s">
        <v>50</v>
      </c>
      <c r="D200" t="s">
        <v>37</v>
      </c>
      <c r="E200" t="s">
        <v>38</v>
      </c>
      <c r="F200" t="str">
        <f>"0000310"</f>
        <v>0000310</v>
      </c>
      <c r="G200">
        <v>1</v>
      </c>
      <c r="H200" t="str">
        <f>"00000000"</f>
        <v>00000000</v>
      </c>
      <c r="I200" t="s">
        <v>39</v>
      </c>
      <c r="J200"/>
      <c r="K200">
        <v>237.29</v>
      </c>
      <c r="L200">
        <v>0.0</v>
      </c>
      <c r="M200"/>
      <c r="N200"/>
      <c r="O200">
        <v>42.71</v>
      </c>
      <c r="P200">
        <v>0.0</v>
      </c>
      <c r="Q200">
        <v>280.0</v>
      </c>
      <c r="R200"/>
      <c r="S200"/>
      <c r="T200"/>
      <c r="U200"/>
      <c r="V200"/>
      <c r="W200">
        <v>18</v>
      </c>
    </row>
    <row r="201" spans="1:23">
      <c r="A201"/>
      <c r="B201" t="s">
        <v>50</v>
      </c>
      <c r="C201" t="s">
        <v>50</v>
      </c>
      <c r="D201" t="s">
        <v>37</v>
      </c>
      <c r="E201" t="s">
        <v>38</v>
      </c>
      <c r="F201" t="str">
        <f>"0000311"</f>
        <v>0000311</v>
      </c>
      <c r="G201">
        <v>1</v>
      </c>
      <c r="H201" t="str">
        <f>"00000000"</f>
        <v>00000000</v>
      </c>
      <c r="I201" t="s">
        <v>39</v>
      </c>
      <c r="J201"/>
      <c r="K201">
        <v>254.24</v>
      </c>
      <c r="L201">
        <v>0.0</v>
      </c>
      <c r="M201"/>
      <c r="N201"/>
      <c r="O201">
        <v>45.76</v>
      </c>
      <c r="P201">
        <v>0.0</v>
      </c>
      <c r="Q201">
        <v>300.0</v>
      </c>
      <c r="R201"/>
      <c r="S201"/>
      <c r="T201"/>
      <c r="U201"/>
      <c r="V201"/>
      <c r="W201">
        <v>18</v>
      </c>
    </row>
    <row r="202" spans="1:23">
      <c r="A202"/>
      <c r="B202" t="s">
        <v>50</v>
      </c>
      <c r="C202" t="s">
        <v>50</v>
      </c>
      <c r="D202" t="s">
        <v>37</v>
      </c>
      <c r="E202" t="s">
        <v>38</v>
      </c>
      <c r="F202" t="str">
        <f>"0000312"</f>
        <v>0000312</v>
      </c>
      <c r="G202">
        <v>1</v>
      </c>
      <c r="H202" t="str">
        <f>"00000000"</f>
        <v>00000000</v>
      </c>
      <c r="I202" t="s">
        <v>39</v>
      </c>
      <c r="J202"/>
      <c r="K202">
        <v>279.66</v>
      </c>
      <c r="L202">
        <v>0.0</v>
      </c>
      <c r="M202"/>
      <c r="N202"/>
      <c r="O202">
        <v>50.34</v>
      </c>
      <c r="P202">
        <v>0.0</v>
      </c>
      <c r="Q202">
        <v>330.0</v>
      </c>
      <c r="R202"/>
      <c r="S202"/>
      <c r="T202"/>
      <c r="U202"/>
      <c r="V202"/>
      <c r="W202">
        <v>18</v>
      </c>
    </row>
    <row r="203" spans="1:23">
      <c r="A203"/>
      <c r="B203" t="s">
        <v>50</v>
      </c>
      <c r="C203" t="s">
        <v>50</v>
      </c>
      <c r="D203" t="s">
        <v>37</v>
      </c>
      <c r="E203" t="s">
        <v>38</v>
      </c>
      <c r="F203" t="str">
        <f>"0000313"</f>
        <v>0000313</v>
      </c>
      <c r="G203">
        <v>1</v>
      </c>
      <c r="H203" t="str">
        <f>"00000000"</f>
        <v>00000000</v>
      </c>
      <c r="I203" t="s">
        <v>39</v>
      </c>
      <c r="J203"/>
      <c r="K203">
        <v>254.24</v>
      </c>
      <c r="L203">
        <v>0.0</v>
      </c>
      <c r="M203"/>
      <c r="N203"/>
      <c r="O203">
        <v>45.76</v>
      </c>
      <c r="P203">
        <v>0.0</v>
      </c>
      <c r="Q203">
        <v>300.0</v>
      </c>
      <c r="R203"/>
      <c r="S203"/>
      <c r="T203"/>
      <c r="U203"/>
      <c r="V203"/>
      <c r="W203">
        <v>18</v>
      </c>
    </row>
    <row r="204" spans="1:23">
      <c r="A204"/>
      <c r="B204" t="s">
        <v>50</v>
      </c>
      <c r="C204" t="s">
        <v>50</v>
      </c>
      <c r="D204" t="s">
        <v>37</v>
      </c>
      <c r="E204" t="s">
        <v>38</v>
      </c>
      <c r="F204" t="str">
        <f>"0000314"</f>
        <v>0000314</v>
      </c>
      <c r="G204">
        <v>1</v>
      </c>
      <c r="H204" t="str">
        <f>"00000000"</f>
        <v>00000000</v>
      </c>
      <c r="I204" t="s">
        <v>39</v>
      </c>
      <c r="J204"/>
      <c r="K204">
        <v>381.36</v>
      </c>
      <c r="L204">
        <v>0.0</v>
      </c>
      <c r="M204"/>
      <c r="N204"/>
      <c r="O204">
        <v>68.64</v>
      </c>
      <c r="P204">
        <v>0.0</v>
      </c>
      <c r="Q204">
        <v>450.0</v>
      </c>
      <c r="R204"/>
      <c r="S204"/>
      <c r="T204"/>
      <c r="U204"/>
      <c r="V204"/>
      <c r="W204">
        <v>18</v>
      </c>
    </row>
    <row r="205" spans="1:23">
      <c r="A205"/>
      <c r="B205" t="s">
        <v>50</v>
      </c>
      <c r="C205" t="s">
        <v>50</v>
      </c>
      <c r="D205" t="s">
        <v>37</v>
      </c>
      <c r="E205" t="s">
        <v>38</v>
      </c>
      <c r="F205" t="str">
        <f>"0000315"</f>
        <v>0000315</v>
      </c>
      <c r="G205">
        <v>1</v>
      </c>
      <c r="H205" t="str">
        <f>"00000000"</f>
        <v>00000000</v>
      </c>
      <c r="I205" t="s">
        <v>39</v>
      </c>
      <c r="J205"/>
      <c r="K205">
        <v>296.61</v>
      </c>
      <c r="L205">
        <v>0.0</v>
      </c>
      <c r="M205"/>
      <c r="N205"/>
      <c r="O205">
        <v>53.39</v>
      </c>
      <c r="P205">
        <v>0.0</v>
      </c>
      <c r="Q205">
        <v>350.0</v>
      </c>
      <c r="R205"/>
      <c r="S205"/>
      <c r="T205"/>
      <c r="U205"/>
      <c r="V205"/>
      <c r="W205">
        <v>18</v>
      </c>
    </row>
    <row r="206" spans="1:23">
      <c r="A206"/>
      <c r="B206" t="s">
        <v>50</v>
      </c>
      <c r="C206" t="s">
        <v>50</v>
      </c>
      <c r="D206" t="s">
        <v>37</v>
      </c>
      <c r="E206" t="s">
        <v>38</v>
      </c>
      <c r="F206" t="str">
        <f>"0000316"</f>
        <v>0000316</v>
      </c>
      <c r="G206">
        <v>1</v>
      </c>
      <c r="H206" t="str">
        <f>"00000000"</f>
        <v>00000000</v>
      </c>
      <c r="I206" t="s">
        <v>39</v>
      </c>
      <c r="J206"/>
      <c r="K206">
        <v>402.54</v>
      </c>
      <c r="L206">
        <v>0.0</v>
      </c>
      <c r="M206"/>
      <c r="N206"/>
      <c r="O206">
        <v>72.46</v>
      </c>
      <c r="P206">
        <v>0.0</v>
      </c>
      <c r="Q206">
        <v>475.0</v>
      </c>
      <c r="R206"/>
      <c r="S206"/>
      <c r="T206"/>
      <c r="U206"/>
      <c r="V206"/>
      <c r="W206">
        <v>18</v>
      </c>
    </row>
    <row r="207" spans="1:23">
      <c r="A207"/>
      <c r="B207" t="s">
        <v>50</v>
      </c>
      <c r="C207" t="s">
        <v>50</v>
      </c>
      <c r="D207" t="s">
        <v>37</v>
      </c>
      <c r="E207" t="s">
        <v>38</v>
      </c>
      <c r="F207" t="str">
        <f>"0000317"</f>
        <v>0000317</v>
      </c>
      <c r="G207">
        <v>1</v>
      </c>
      <c r="H207" t="str">
        <f>"00000000"</f>
        <v>00000000</v>
      </c>
      <c r="I207" t="s">
        <v>39</v>
      </c>
      <c r="J207"/>
      <c r="K207">
        <v>296.61</v>
      </c>
      <c r="L207">
        <v>0.0</v>
      </c>
      <c r="M207"/>
      <c r="N207"/>
      <c r="O207">
        <v>53.39</v>
      </c>
      <c r="P207">
        <v>0.0</v>
      </c>
      <c r="Q207">
        <v>350.0</v>
      </c>
      <c r="R207"/>
      <c r="S207"/>
      <c r="T207"/>
      <c r="U207"/>
      <c r="V207"/>
      <c r="W207">
        <v>18</v>
      </c>
    </row>
    <row r="208" spans="1:23">
      <c r="A208"/>
      <c r="B208" t="s">
        <v>50</v>
      </c>
      <c r="C208" t="s">
        <v>50</v>
      </c>
      <c r="D208" t="s">
        <v>37</v>
      </c>
      <c r="E208" t="s">
        <v>38</v>
      </c>
      <c r="F208" t="str">
        <f>"0000318"</f>
        <v>0000318</v>
      </c>
      <c r="G208">
        <v>1</v>
      </c>
      <c r="H208" t="str">
        <f>"00000000"</f>
        <v>00000000</v>
      </c>
      <c r="I208" t="s">
        <v>39</v>
      </c>
      <c r="J208"/>
      <c r="K208">
        <v>271.19</v>
      </c>
      <c r="L208">
        <v>0.0</v>
      </c>
      <c r="M208"/>
      <c r="N208"/>
      <c r="O208">
        <v>48.81</v>
      </c>
      <c r="P208">
        <v>0.0</v>
      </c>
      <c r="Q208">
        <v>320.0</v>
      </c>
      <c r="R208"/>
      <c r="S208"/>
      <c r="T208"/>
      <c r="U208"/>
      <c r="V208"/>
      <c r="W208">
        <v>18</v>
      </c>
    </row>
    <row r="209" spans="1:23">
      <c r="A209"/>
      <c r="B209" t="s">
        <v>50</v>
      </c>
      <c r="C209" t="s">
        <v>50</v>
      </c>
      <c r="D209" t="s">
        <v>37</v>
      </c>
      <c r="E209" t="s">
        <v>38</v>
      </c>
      <c r="F209" t="str">
        <f>"0000319"</f>
        <v>0000319</v>
      </c>
      <c r="G209">
        <v>1</v>
      </c>
      <c r="H209" t="str">
        <f>"00000000"</f>
        <v>00000000</v>
      </c>
      <c r="I209" t="s">
        <v>39</v>
      </c>
      <c r="J209"/>
      <c r="K209">
        <v>389.83</v>
      </c>
      <c r="L209">
        <v>0.0</v>
      </c>
      <c r="M209"/>
      <c r="N209"/>
      <c r="O209">
        <v>70.17</v>
      </c>
      <c r="P209">
        <v>0.0</v>
      </c>
      <c r="Q209">
        <v>460.0</v>
      </c>
      <c r="R209"/>
      <c r="S209"/>
      <c r="T209"/>
      <c r="U209"/>
      <c r="V209"/>
      <c r="W209">
        <v>18</v>
      </c>
    </row>
    <row r="210" spans="1:23">
      <c r="A210"/>
      <c r="B210" t="s">
        <v>50</v>
      </c>
      <c r="C210" t="s">
        <v>50</v>
      </c>
      <c r="D210" t="s">
        <v>37</v>
      </c>
      <c r="E210" t="s">
        <v>38</v>
      </c>
      <c r="F210" t="str">
        <f>"0000320"</f>
        <v>0000320</v>
      </c>
      <c r="G210">
        <v>1</v>
      </c>
      <c r="H210" t="str">
        <f>"00000000"</f>
        <v>00000000</v>
      </c>
      <c r="I210" t="s">
        <v>39</v>
      </c>
      <c r="J210"/>
      <c r="K210">
        <v>338.98</v>
      </c>
      <c r="L210">
        <v>0.0</v>
      </c>
      <c r="M210"/>
      <c r="N210"/>
      <c r="O210">
        <v>61.02</v>
      </c>
      <c r="P210">
        <v>0.0</v>
      </c>
      <c r="Q210">
        <v>400.0</v>
      </c>
      <c r="R210"/>
      <c r="S210"/>
      <c r="T210"/>
      <c r="U210"/>
      <c r="V210"/>
      <c r="W210">
        <v>18</v>
      </c>
    </row>
    <row r="211" spans="1:23">
      <c r="A211"/>
      <c r="B211" t="s">
        <v>50</v>
      </c>
      <c r="C211" t="s">
        <v>50</v>
      </c>
      <c r="D211" t="s">
        <v>37</v>
      </c>
      <c r="E211" t="s">
        <v>38</v>
      </c>
      <c r="F211" t="str">
        <f>"0000321"</f>
        <v>0000321</v>
      </c>
      <c r="G211">
        <v>1</v>
      </c>
      <c r="H211" t="str">
        <f>"00000000"</f>
        <v>00000000</v>
      </c>
      <c r="I211" t="s">
        <v>39</v>
      </c>
      <c r="J211"/>
      <c r="K211">
        <v>254.24</v>
      </c>
      <c r="L211">
        <v>0.0</v>
      </c>
      <c r="M211"/>
      <c r="N211"/>
      <c r="O211">
        <v>45.76</v>
      </c>
      <c r="P211">
        <v>0.0</v>
      </c>
      <c r="Q211">
        <v>300.0</v>
      </c>
      <c r="R211"/>
      <c r="S211"/>
      <c r="T211"/>
      <c r="U211"/>
      <c r="V211"/>
      <c r="W211">
        <v>18</v>
      </c>
    </row>
    <row r="212" spans="1:23">
      <c r="A212"/>
      <c r="B212" t="s">
        <v>50</v>
      </c>
      <c r="C212" t="s">
        <v>50</v>
      </c>
      <c r="D212" t="s">
        <v>37</v>
      </c>
      <c r="E212" t="s">
        <v>38</v>
      </c>
      <c r="F212" t="str">
        <f>"0000322"</f>
        <v>0000322</v>
      </c>
      <c r="G212">
        <v>1</v>
      </c>
      <c r="H212" t="str">
        <f>"00000000"</f>
        <v>00000000</v>
      </c>
      <c r="I212" t="s">
        <v>39</v>
      </c>
      <c r="J212"/>
      <c r="K212">
        <v>279.66</v>
      </c>
      <c r="L212">
        <v>0.0</v>
      </c>
      <c r="M212"/>
      <c r="N212"/>
      <c r="O212">
        <v>50.34</v>
      </c>
      <c r="P212">
        <v>0.0</v>
      </c>
      <c r="Q212">
        <v>330.0</v>
      </c>
      <c r="R212"/>
      <c r="S212"/>
      <c r="T212"/>
      <c r="U212"/>
      <c r="V212"/>
      <c r="W212">
        <v>18</v>
      </c>
    </row>
    <row r="213" spans="1:23">
      <c r="A213"/>
      <c r="B213" t="s">
        <v>52</v>
      </c>
      <c r="C213" t="s">
        <v>52</v>
      </c>
      <c r="D213" t="s">
        <v>37</v>
      </c>
      <c r="E213" t="s">
        <v>38</v>
      </c>
      <c r="F213" t="str">
        <f>"0000323"</f>
        <v>0000323</v>
      </c>
      <c r="G213">
        <v>1</v>
      </c>
      <c r="H213" t="str">
        <f>"43166542"</f>
        <v>43166542</v>
      </c>
      <c r="I213" t="s">
        <v>53</v>
      </c>
      <c r="J213"/>
      <c r="K213">
        <v>1029.66</v>
      </c>
      <c r="L213">
        <v>0.0</v>
      </c>
      <c r="M213"/>
      <c r="N213"/>
      <c r="O213">
        <v>185.34</v>
      </c>
      <c r="P213">
        <v>0.0</v>
      </c>
      <c r="Q213">
        <v>1215.0</v>
      </c>
      <c r="R213"/>
      <c r="S213"/>
      <c r="T213"/>
      <c r="U213"/>
      <c r="V213"/>
      <c r="W213">
        <v>18</v>
      </c>
    </row>
    <row r="214" spans="1:23">
      <c r="A214"/>
      <c r="B214" t="s">
        <v>54</v>
      </c>
      <c r="C214" t="s">
        <v>54</v>
      </c>
      <c r="D214" t="s">
        <v>37</v>
      </c>
      <c r="E214" t="s">
        <v>38</v>
      </c>
      <c r="F214" t="str">
        <f>"0000324"</f>
        <v>0000324</v>
      </c>
      <c r="G214">
        <v>1</v>
      </c>
      <c r="H214" t="str">
        <f>"00000000"</f>
        <v>00000000</v>
      </c>
      <c r="I214" t="s">
        <v>39</v>
      </c>
      <c r="J214"/>
      <c r="K214">
        <v>254.24</v>
      </c>
      <c r="L214">
        <v>0.0</v>
      </c>
      <c r="M214"/>
      <c r="N214"/>
      <c r="O214">
        <v>45.76</v>
      </c>
      <c r="P214">
        <v>0.0</v>
      </c>
      <c r="Q214">
        <v>300.0</v>
      </c>
      <c r="R214"/>
      <c r="S214"/>
      <c r="T214"/>
      <c r="U214"/>
      <c r="V214"/>
      <c r="W214">
        <v>18</v>
      </c>
    </row>
    <row r="215" spans="1:23">
      <c r="A215"/>
      <c r="B215" t="s">
        <v>54</v>
      </c>
      <c r="C215" t="s">
        <v>54</v>
      </c>
      <c r="D215" t="s">
        <v>37</v>
      </c>
      <c r="E215" t="s">
        <v>38</v>
      </c>
      <c r="F215" t="str">
        <f>"0000325"</f>
        <v>0000325</v>
      </c>
      <c r="G215">
        <v>1</v>
      </c>
      <c r="H215" t="str">
        <f>"00000000"</f>
        <v>00000000</v>
      </c>
      <c r="I215" t="s">
        <v>39</v>
      </c>
      <c r="J215"/>
      <c r="K215">
        <v>296.61</v>
      </c>
      <c r="L215">
        <v>0.0</v>
      </c>
      <c r="M215"/>
      <c r="N215"/>
      <c r="O215">
        <v>53.39</v>
      </c>
      <c r="P215">
        <v>0.0</v>
      </c>
      <c r="Q215">
        <v>350.0</v>
      </c>
      <c r="R215"/>
      <c r="S215"/>
      <c r="T215"/>
      <c r="U215"/>
      <c r="V215"/>
      <c r="W215">
        <v>18</v>
      </c>
    </row>
    <row r="216" spans="1:23">
      <c r="A216"/>
      <c r="B216" t="s">
        <v>54</v>
      </c>
      <c r="C216" t="s">
        <v>54</v>
      </c>
      <c r="D216" t="s">
        <v>37</v>
      </c>
      <c r="E216" t="s">
        <v>38</v>
      </c>
      <c r="F216" t="str">
        <f>"0000326"</f>
        <v>0000326</v>
      </c>
      <c r="G216">
        <v>1</v>
      </c>
      <c r="H216" t="str">
        <f>"00000000"</f>
        <v>00000000</v>
      </c>
      <c r="I216" t="s">
        <v>39</v>
      </c>
      <c r="J216"/>
      <c r="K216">
        <v>347.46</v>
      </c>
      <c r="L216">
        <v>0.0</v>
      </c>
      <c r="M216"/>
      <c r="N216"/>
      <c r="O216">
        <v>62.54</v>
      </c>
      <c r="P216">
        <v>0.0</v>
      </c>
      <c r="Q216">
        <v>410.0</v>
      </c>
      <c r="R216"/>
      <c r="S216"/>
      <c r="T216"/>
      <c r="U216"/>
      <c r="V216"/>
      <c r="W216">
        <v>18</v>
      </c>
    </row>
    <row r="217" spans="1:23">
      <c r="A217"/>
      <c r="B217" t="s">
        <v>54</v>
      </c>
      <c r="C217" t="s">
        <v>54</v>
      </c>
      <c r="D217" t="s">
        <v>37</v>
      </c>
      <c r="E217" t="s">
        <v>38</v>
      </c>
      <c r="F217" t="str">
        <f>"0000327"</f>
        <v>0000327</v>
      </c>
      <c r="G217">
        <v>1</v>
      </c>
      <c r="H217" t="str">
        <f>"00000000"</f>
        <v>00000000</v>
      </c>
      <c r="I217" t="s">
        <v>39</v>
      </c>
      <c r="J217"/>
      <c r="K217">
        <v>360.17</v>
      </c>
      <c r="L217">
        <v>0.0</v>
      </c>
      <c r="M217"/>
      <c r="N217"/>
      <c r="O217">
        <v>64.83</v>
      </c>
      <c r="P217">
        <v>0.0</v>
      </c>
      <c r="Q217">
        <v>425.0</v>
      </c>
      <c r="R217"/>
      <c r="S217"/>
      <c r="T217"/>
      <c r="U217"/>
      <c r="V217"/>
      <c r="W217">
        <v>18</v>
      </c>
    </row>
    <row r="218" spans="1:23">
      <c r="A218"/>
      <c r="B218" t="s">
        <v>54</v>
      </c>
      <c r="C218" t="s">
        <v>54</v>
      </c>
      <c r="D218" t="s">
        <v>37</v>
      </c>
      <c r="E218" t="s">
        <v>38</v>
      </c>
      <c r="F218" t="str">
        <f>"0000328"</f>
        <v>0000328</v>
      </c>
      <c r="G218">
        <v>1</v>
      </c>
      <c r="H218" t="str">
        <f>"00000000"</f>
        <v>00000000</v>
      </c>
      <c r="I218" t="s">
        <v>39</v>
      </c>
      <c r="J218"/>
      <c r="K218">
        <v>296.61</v>
      </c>
      <c r="L218">
        <v>0.0</v>
      </c>
      <c r="M218"/>
      <c r="N218"/>
      <c r="O218">
        <v>53.39</v>
      </c>
      <c r="P218">
        <v>0.0</v>
      </c>
      <c r="Q218">
        <v>350.0</v>
      </c>
      <c r="R218"/>
      <c r="S218"/>
      <c r="T218"/>
      <c r="U218"/>
      <c r="V218"/>
      <c r="W218">
        <v>18</v>
      </c>
    </row>
    <row r="219" spans="1:23">
      <c r="A219"/>
      <c r="B219" t="s">
        <v>54</v>
      </c>
      <c r="C219" t="s">
        <v>54</v>
      </c>
      <c r="D219" t="s">
        <v>37</v>
      </c>
      <c r="E219" t="s">
        <v>38</v>
      </c>
      <c r="F219" t="str">
        <f>"0000329"</f>
        <v>0000329</v>
      </c>
      <c r="G219">
        <v>1</v>
      </c>
      <c r="H219" t="str">
        <f>"00000000"</f>
        <v>00000000</v>
      </c>
      <c r="I219" t="s">
        <v>39</v>
      </c>
      <c r="J219"/>
      <c r="K219">
        <v>279.66</v>
      </c>
      <c r="L219">
        <v>0.0</v>
      </c>
      <c r="M219"/>
      <c r="N219"/>
      <c r="O219">
        <v>50.34</v>
      </c>
      <c r="P219">
        <v>0.0</v>
      </c>
      <c r="Q219">
        <v>330.0</v>
      </c>
      <c r="R219"/>
      <c r="S219"/>
      <c r="T219"/>
      <c r="U219"/>
      <c r="V219"/>
      <c r="W219">
        <v>18</v>
      </c>
    </row>
    <row r="220" spans="1:23">
      <c r="A220"/>
      <c r="B220" t="s">
        <v>54</v>
      </c>
      <c r="C220" t="s">
        <v>54</v>
      </c>
      <c r="D220" t="s">
        <v>37</v>
      </c>
      <c r="E220" t="s">
        <v>38</v>
      </c>
      <c r="F220" t="str">
        <f>"0000330"</f>
        <v>0000330</v>
      </c>
      <c r="G220">
        <v>1</v>
      </c>
      <c r="H220" t="str">
        <f>"00000000"</f>
        <v>00000000</v>
      </c>
      <c r="I220" t="s">
        <v>39</v>
      </c>
      <c r="J220"/>
      <c r="K220">
        <v>245.76</v>
      </c>
      <c r="L220">
        <v>0.0</v>
      </c>
      <c r="M220"/>
      <c r="N220"/>
      <c r="O220">
        <v>44.24</v>
      </c>
      <c r="P220">
        <v>0.0</v>
      </c>
      <c r="Q220">
        <v>290.0</v>
      </c>
      <c r="R220"/>
      <c r="S220"/>
      <c r="T220"/>
      <c r="U220"/>
      <c r="V220"/>
      <c r="W220">
        <v>18</v>
      </c>
    </row>
    <row r="221" spans="1:23">
      <c r="A221"/>
      <c r="B221" t="s">
        <v>54</v>
      </c>
      <c r="C221" t="s">
        <v>54</v>
      </c>
      <c r="D221" t="s">
        <v>37</v>
      </c>
      <c r="E221" t="s">
        <v>38</v>
      </c>
      <c r="F221" t="str">
        <f>"0000331"</f>
        <v>0000331</v>
      </c>
      <c r="G221">
        <v>1</v>
      </c>
      <c r="H221" t="str">
        <f>"00000000"</f>
        <v>00000000</v>
      </c>
      <c r="I221" t="s">
        <v>39</v>
      </c>
      <c r="J221"/>
      <c r="K221">
        <v>250.0</v>
      </c>
      <c r="L221">
        <v>0.0</v>
      </c>
      <c r="M221"/>
      <c r="N221"/>
      <c r="O221">
        <v>45.0</v>
      </c>
      <c r="P221">
        <v>0.0</v>
      </c>
      <c r="Q221">
        <v>295.0</v>
      </c>
      <c r="R221"/>
      <c r="S221"/>
      <c r="T221"/>
      <c r="U221"/>
      <c r="V221"/>
      <c r="W221">
        <v>18</v>
      </c>
    </row>
    <row r="222" spans="1:23">
      <c r="A222"/>
      <c r="B222" t="s">
        <v>54</v>
      </c>
      <c r="C222" t="s">
        <v>54</v>
      </c>
      <c r="D222" t="s">
        <v>37</v>
      </c>
      <c r="E222" t="s">
        <v>38</v>
      </c>
      <c r="F222" t="str">
        <f>"0000332"</f>
        <v>0000332</v>
      </c>
      <c r="G222">
        <v>1</v>
      </c>
      <c r="H222" t="str">
        <f>"00000000"</f>
        <v>00000000</v>
      </c>
      <c r="I222" t="s">
        <v>39</v>
      </c>
      <c r="J222"/>
      <c r="K222">
        <v>343.22</v>
      </c>
      <c r="L222">
        <v>0.0</v>
      </c>
      <c r="M222"/>
      <c r="N222"/>
      <c r="O222">
        <v>61.78</v>
      </c>
      <c r="P222">
        <v>0.0</v>
      </c>
      <c r="Q222">
        <v>405.0</v>
      </c>
      <c r="R222"/>
      <c r="S222"/>
      <c r="T222"/>
      <c r="U222"/>
      <c r="V222"/>
      <c r="W222">
        <v>18</v>
      </c>
    </row>
    <row r="223" spans="1:23">
      <c r="A223"/>
      <c r="B223" t="s">
        <v>54</v>
      </c>
      <c r="C223" t="s">
        <v>54</v>
      </c>
      <c r="D223" t="s">
        <v>37</v>
      </c>
      <c r="E223" t="s">
        <v>38</v>
      </c>
      <c r="F223" t="str">
        <f>"0000333"</f>
        <v>0000333</v>
      </c>
      <c r="G223">
        <v>1</v>
      </c>
      <c r="H223" t="str">
        <f>"00000000"</f>
        <v>00000000</v>
      </c>
      <c r="I223" t="s">
        <v>39</v>
      </c>
      <c r="J223"/>
      <c r="K223">
        <v>372.88</v>
      </c>
      <c r="L223">
        <v>0.0</v>
      </c>
      <c r="M223"/>
      <c r="N223"/>
      <c r="O223">
        <v>67.12</v>
      </c>
      <c r="P223">
        <v>0.0</v>
      </c>
      <c r="Q223">
        <v>440.0</v>
      </c>
      <c r="R223"/>
      <c r="S223"/>
      <c r="T223"/>
      <c r="U223"/>
      <c r="V223"/>
      <c r="W223">
        <v>18</v>
      </c>
    </row>
    <row r="224" spans="1:23">
      <c r="A224"/>
      <c r="B224" t="s">
        <v>54</v>
      </c>
      <c r="C224" t="s">
        <v>54</v>
      </c>
      <c r="D224" t="s">
        <v>37</v>
      </c>
      <c r="E224" t="s">
        <v>38</v>
      </c>
      <c r="F224" t="str">
        <f>"0000334"</f>
        <v>0000334</v>
      </c>
      <c r="G224">
        <v>1</v>
      </c>
      <c r="H224" t="str">
        <f>"00000000"</f>
        <v>00000000</v>
      </c>
      <c r="I224" t="s">
        <v>39</v>
      </c>
      <c r="J224"/>
      <c r="K224">
        <v>296.61</v>
      </c>
      <c r="L224">
        <v>0.0</v>
      </c>
      <c r="M224"/>
      <c r="N224"/>
      <c r="O224">
        <v>53.39</v>
      </c>
      <c r="P224">
        <v>0.0</v>
      </c>
      <c r="Q224">
        <v>350.0</v>
      </c>
      <c r="R224"/>
      <c r="S224"/>
      <c r="T224"/>
      <c r="U224"/>
      <c r="V224"/>
      <c r="W224">
        <v>18</v>
      </c>
    </row>
    <row r="225" spans="1:23">
      <c r="A225"/>
      <c r="B225" t="s">
        <v>54</v>
      </c>
      <c r="C225" t="s">
        <v>54</v>
      </c>
      <c r="D225" t="s">
        <v>37</v>
      </c>
      <c r="E225" t="s">
        <v>38</v>
      </c>
      <c r="F225" t="str">
        <f>"0000335"</f>
        <v>0000335</v>
      </c>
      <c r="G225">
        <v>1</v>
      </c>
      <c r="H225" t="str">
        <f>"00000000"</f>
        <v>00000000</v>
      </c>
      <c r="I225" t="s">
        <v>39</v>
      </c>
      <c r="J225"/>
      <c r="K225">
        <v>237.29</v>
      </c>
      <c r="L225">
        <v>0.0</v>
      </c>
      <c r="M225"/>
      <c r="N225"/>
      <c r="O225">
        <v>42.71</v>
      </c>
      <c r="P225">
        <v>0.0</v>
      </c>
      <c r="Q225">
        <v>280.0</v>
      </c>
      <c r="R225"/>
      <c r="S225"/>
      <c r="T225"/>
      <c r="U225"/>
      <c r="V225"/>
      <c r="W225">
        <v>18</v>
      </c>
    </row>
    <row r="226" spans="1:23">
      <c r="A226"/>
      <c r="B226" t="s">
        <v>54</v>
      </c>
      <c r="C226" t="s">
        <v>54</v>
      </c>
      <c r="D226" t="s">
        <v>37</v>
      </c>
      <c r="E226" t="s">
        <v>38</v>
      </c>
      <c r="F226" t="str">
        <f>"0000336"</f>
        <v>0000336</v>
      </c>
      <c r="G226">
        <v>1</v>
      </c>
      <c r="H226" t="str">
        <f>"00000000"</f>
        <v>00000000</v>
      </c>
      <c r="I226" t="s">
        <v>39</v>
      </c>
      <c r="J226"/>
      <c r="K226">
        <v>283.9</v>
      </c>
      <c r="L226">
        <v>0.0</v>
      </c>
      <c r="M226"/>
      <c r="N226"/>
      <c r="O226">
        <v>51.1</v>
      </c>
      <c r="P226">
        <v>0.0</v>
      </c>
      <c r="Q226">
        <v>335.0</v>
      </c>
      <c r="R226"/>
      <c r="S226"/>
      <c r="T226"/>
      <c r="U226"/>
      <c r="V226"/>
      <c r="W226">
        <v>18</v>
      </c>
    </row>
    <row r="227" spans="1:23">
      <c r="A227"/>
      <c r="B227" t="s">
        <v>55</v>
      </c>
      <c r="C227" t="s">
        <v>55</v>
      </c>
      <c r="D227" t="s">
        <v>37</v>
      </c>
      <c r="E227" t="s">
        <v>38</v>
      </c>
      <c r="F227" t="str">
        <f>"0000337"</f>
        <v>0000337</v>
      </c>
      <c r="G227">
        <v>1</v>
      </c>
      <c r="H227" t="str">
        <f>"00000000"</f>
        <v>00000000</v>
      </c>
      <c r="I227" t="s">
        <v>39</v>
      </c>
      <c r="J227"/>
      <c r="K227">
        <v>220.34</v>
      </c>
      <c r="L227">
        <v>0.0</v>
      </c>
      <c r="M227"/>
      <c r="N227"/>
      <c r="O227">
        <v>39.66</v>
      </c>
      <c r="P227">
        <v>0.0</v>
      </c>
      <c r="Q227">
        <v>260.0</v>
      </c>
      <c r="R227"/>
      <c r="S227"/>
      <c r="T227"/>
      <c r="U227"/>
      <c r="V227"/>
      <c r="W227">
        <v>18</v>
      </c>
    </row>
    <row r="228" spans="1:23">
      <c r="A228"/>
      <c r="B228" t="s">
        <v>55</v>
      </c>
      <c r="C228" t="s">
        <v>55</v>
      </c>
      <c r="D228" t="s">
        <v>37</v>
      </c>
      <c r="E228" t="s">
        <v>38</v>
      </c>
      <c r="F228" t="str">
        <f>"0000338"</f>
        <v>0000338</v>
      </c>
      <c r="G228">
        <v>1</v>
      </c>
      <c r="H228" t="str">
        <f>"00000000"</f>
        <v>00000000</v>
      </c>
      <c r="I228" t="s">
        <v>39</v>
      </c>
      <c r="J228"/>
      <c r="K228">
        <v>254.24</v>
      </c>
      <c r="L228">
        <v>0.0</v>
      </c>
      <c r="M228"/>
      <c r="N228"/>
      <c r="O228">
        <v>45.76</v>
      </c>
      <c r="P228">
        <v>0.0</v>
      </c>
      <c r="Q228">
        <v>300.0</v>
      </c>
      <c r="R228"/>
      <c r="S228"/>
      <c r="T228"/>
      <c r="U228"/>
      <c r="V228"/>
      <c r="W228">
        <v>18</v>
      </c>
    </row>
    <row r="229" spans="1:23">
      <c r="A229"/>
      <c r="B229" t="s">
        <v>55</v>
      </c>
      <c r="C229" t="s">
        <v>55</v>
      </c>
      <c r="D229" t="s">
        <v>37</v>
      </c>
      <c r="E229" t="s">
        <v>38</v>
      </c>
      <c r="F229" t="str">
        <f>"0000339"</f>
        <v>0000339</v>
      </c>
      <c r="G229">
        <v>1</v>
      </c>
      <c r="H229" t="str">
        <f>"00000000"</f>
        <v>00000000</v>
      </c>
      <c r="I229" t="s">
        <v>39</v>
      </c>
      <c r="J229"/>
      <c r="K229">
        <v>296.61</v>
      </c>
      <c r="L229">
        <v>0.0</v>
      </c>
      <c r="M229"/>
      <c r="N229"/>
      <c r="O229">
        <v>53.39</v>
      </c>
      <c r="P229">
        <v>0.0</v>
      </c>
      <c r="Q229">
        <v>350.0</v>
      </c>
      <c r="R229"/>
      <c r="S229"/>
      <c r="T229"/>
      <c r="U229"/>
      <c r="V229"/>
      <c r="W229">
        <v>18</v>
      </c>
    </row>
    <row r="230" spans="1:23">
      <c r="A230"/>
      <c r="B230" t="s">
        <v>55</v>
      </c>
      <c r="C230" t="s">
        <v>55</v>
      </c>
      <c r="D230" t="s">
        <v>37</v>
      </c>
      <c r="E230" t="s">
        <v>38</v>
      </c>
      <c r="F230" t="str">
        <f>"0000340"</f>
        <v>0000340</v>
      </c>
      <c r="G230">
        <v>1</v>
      </c>
      <c r="H230" t="str">
        <f>"00000000"</f>
        <v>00000000</v>
      </c>
      <c r="I230" t="s">
        <v>39</v>
      </c>
      <c r="J230"/>
      <c r="K230">
        <v>372.88</v>
      </c>
      <c r="L230">
        <v>0.0</v>
      </c>
      <c r="M230"/>
      <c r="N230"/>
      <c r="O230">
        <v>67.12</v>
      </c>
      <c r="P230">
        <v>0.0</v>
      </c>
      <c r="Q230">
        <v>440.0</v>
      </c>
      <c r="R230"/>
      <c r="S230"/>
      <c r="T230"/>
      <c r="U230"/>
      <c r="V230"/>
      <c r="W230">
        <v>18</v>
      </c>
    </row>
    <row r="231" spans="1:23">
      <c r="A231"/>
      <c r="B231" t="s">
        <v>55</v>
      </c>
      <c r="C231" t="s">
        <v>55</v>
      </c>
      <c r="D231" t="s">
        <v>37</v>
      </c>
      <c r="E231" t="s">
        <v>38</v>
      </c>
      <c r="F231" t="str">
        <f>"0000341"</f>
        <v>0000341</v>
      </c>
      <c r="G231">
        <v>1</v>
      </c>
      <c r="H231" t="str">
        <f>"00000000"</f>
        <v>00000000</v>
      </c>
      <c r="I231" t="s">
        <v>39</v>
      </c>
      <c r="J231"/>
      <c r="K231">
        <v>182.2</v>
      </c>
      <c r="L231">
        <v>0.0</v>
      </c>
      <c r="M231"/>
      <c r="N231"/>
      <c r="O231">
        <v>32.8</v>
      </c>
      <c r="P231">
        <v>0.0</v>
      </c>
      <c r="Q231">
        <v>215.0</v>
      </c>
      <c r="R231"/>
      <c r="S231"/>
      <c r="T231"/>
      <c r="U231"/>
      <c r="V231"/>
      <c r="W231">
        <v>18</v>
      </c>
    </row>
    <row r="232" spans="1:23">
      <c r="A232"/>
      <c r="B232" t="s">
        <v>55</v>
      </c>
      <c r="C232" t="s">
        <v>55</v>
      </c>
      <c r="D232" t="s">
        <v>37</v>
      </c>
      <c r="E232" t="s">
        <v>38</v>
      </c>
      <c r="F232" t="str">
        <f>"0000342"</f>
        <v>0000342</v>
      </c>
      <c r="G232">
        <v>1</v>
      </c>
      <c r="H232" t="str">
        <f>"00000000"</f>
        <v>00000000</v>
      </c>
      <c r="I232" t="s">
        <v>39</v>
      </c>
      <c r="J232"/>
      <c r="K232">
        <v>296.61</v>
      </c>
      <c r="L232">
        <v>0.0</v>
      </c>
      <c r="M232"/>
      <c r="N232"/>
      <c r="O232">
        <v>53.39</v>
      </c>
      <c r="P232">
        <v>0.0</v>
      </c>
      <c r="Q232">
        <v>350.0</v>
      </c>
      <c r="R232"/>
      <c r="S232"/>
      <c r="T232"/>
      <c r="U232"/>
      <c r="V232"/>
      <c r="W232">
        <v>18</v>
      </c>
    </row>
    <row r="233" spans="1:23">
      <c r="A233"/>
      <c r="B233" t="s">
        <v>55</v>
      </c>
      <c r="C233" t="s">
        <v>55</v>
      </c>
      <c r="D233" t="s">
        <v>37</v>
      </c>
      <c r="E233" t="s">
        <v>38</v>
      </c>
      <c r="F233" t="str">
        <f>"0000343"</f>
        <v>0000343</v>
      </c>
      <c r="G233">
        <v>1</v>
      </c>
      <c r="H233" t="str">
        <f>"00000000"</f>
        <v>00000000</v>
      </c>
      <c r="I233" t="s">
        <v>39</v>
      </c>
      <c r="J233"/>
      <c r="K233">
        <v>296.61</v>
      </c>
      <c r="L233">
        <v>0.0</v>
      </c>
      <c r="M233"/>
      <c r="N233"/>
      <c r="O233">
        <v>53.39</v>
      </c>
      <c r="P233">
        <v>0.0</v>
      </c>
      <c r="Q233">
        <v>350.0</v>
      </c>
      <c r="R233"/>
      <c r="S233"/>
      <c r="T233"/>
      <c r="U233"/>
      <c r="V233"/>
      <c r="W233">
        <v>18</v>
      </c>
    </row>
    <row r="234" spans="1:23">
      <c r="A234"/>
      <c r="B234" t="s">
        <v>55</v>
      </c>
      <c r="C234" t="s">
        <v>55</v>
      </c>
      <c r="D234" t="s">
        <v>37</v>
      </c>
      <c r="E234" t="s">
        <v>38</v>
      </c>
      <c r="F234" t="str">
        <f>"0000344"</f>
        <v>0000344</v>
      </c>
      <c r="G234">
        <v>1</v>
      </c>
      <c r="H234" t="str">
        <f>"00000000"</f>
        <v>00000000</v>
      </c>
      <c r="I234" t="s">
        <v>39</v>
      </c>
      <c r="J234"/>
      <c r="K234">
        <v>271.19</v>
      </c>
      <c r="L234">
        <v>0.0</v>
      </c>
      <c r="M234"/>
      <c r="N234"/>
      <c r="O234">
        <v>48.81</v>
      </c>
      <c r="P234">
        <v>0.0</v>
      </c>
      <c r="Q234">
        <v>320.0</v>
      </c>
      <c r="R234"/>
      <c r="S234"/>
      <c r="T234"/>
      <c r="U234"/>
      <c r="V234"/>
      <c r="W234">
        <v>18</v>
      </c>
    </row>
    <row r="235" spans="1:23">
      <c r="A235"/>
      <c r="B235" t="s">
        <v>55</v>
      </c>
      <c r="C235" t="s">
        <v>55</v>
      </c>
      <c r="D235" t="s">
        <v>37</v>
      </c>
      <c r="E235" t="s">
        <v>38</v>
      </c>
      <c r="F235" t="str">
        <f>"0000345"</f>
        <v>0000345</v>
      </c>
      <c r="G235">
        <v>1</v>
      </c>
      <c r="H235" t="str">
        <f>"00000000"</f>
        <v>00000000</v>
      </c>
      <c r="I235" t="s">
        <v>39</v>
      </c>
      <c r="J235"/>
      <c r="K235">
        <v>279.66</v>
      </c>
      <c r="L235">
        <v>0.0</v>
      </c>
      <c r="M235"/>
      <c r="N235"/>
      <c r="O235">
        <v>50.34</v>
      </c>
      <c r="P235">
        <v>0.0</v>
      </c>
      <c r="Q235">
        <v>330.0</v>
      </c>
      <c r="R235"/>
      <c r="S235"/>
      <c r="T235"/>
      <c r="U235"/>
      <c r="V235"/>
      <c r="W235">
        <v>18</v>
      </c>
    </row>
    <row r="236" spans="1:23">
      <c r="A236"/>
      <c r="B236" t="s">
        <v>55</v>
      </c>
      <c r="C236" t="s">
        <v>55</v>
      </c>
      <c r="D236" t="s">
        <v>37</v>
      </c>
      <c r="E236" t="s">
        <v>38</v>
      </c>
      <c r="F236" t="str">
        <f>"0000346"</f>
        <v>0000346</v>
      </c>
      <c r="G236">
        <v>1</v>
      </c>
      <c r="H236" t="str">
        <f>"00000000"</f>
        <v>00000000</v>
      </c>
      <c r="I236" t="s">
        <v>39</v>
      </c>
      <c r="J236"/>
      <c r="K236">
        <v>233.05</v>
      </c>
      <c r="L236">
        <v>0.0</v>
      </c>
      <c r="M236"/>
      <c r="N236"/>
      <c r="O236">
        <v>41.95</v>
      </c>
      <c r="P236">
        <v>0.0</v>
      </c>
      <c r="Q236">
        <v>275.0</v>
      </c>
      <c r="R236"/>
      <c r="S236"/>
      <c r="T236"/>
      <c r="U236"/>
      <c r="V236"/>
      <c r="W236">
        <v>18</v>
      </c>
    </row>
    <row r="237" spans="1:23">
      <c r="A237"/>
      <c r="B237" t="s">
        <v>55</v>
      </c>
      <c r="C237" t="s">
        <v>55</v>
      </c>
      <c r="D237" t="s">
        <v>37</v>
      </c>
      <c r="E237" t="s">
        <v>38</v>
      </c>
      <c r="F237" t="str">
        <f>"0000347"</f>
        <v>0000347</v>
      </c>
      <c r="G237">
        <v>1</v>
      </c>
      <c r="H237" t="str">
        <f>"00000000"</f>
        <v>00000000</v>
      </c>
      <c r="I237" t="s">
        <v>39</v>
      </c>
      <c r="J237"/>
      <c r="K237">
        <v>338.98</v>
      </c>
      <c r="L237">
        <v>0.0</v>
      </c>
      <c r="M237"/>
      <c r="N237"/>
      <c r="O237">
        <v>61.02</v>
      </c>
      <c r="P237">
        <v>0.0</v>
      </c>
      <c r="Q237">
        <v>400.0</v>
      </c>
      <c r="R237"/>
      <c r="S237"/>
      <c r="T237"/>
      <c r="U237"/>
      <c r="V237"/>
      <c r="W237">
        <v>18</v>
      </c>
    </row>
    <row r="238" spans="1:23">
      <c r="A238"/>
      <c r="B238" t="s">
        <v>55</v>
      </c>
      <c r="C238" t="s">
        <v>55</v>
      </c>
      <c r="D238" t="s">
        <v>37</v>
      </c>
      <c r="E238" t="s">
        <v>38</v>
      </c>
      <c r="F238" t="str">
        <f>"0000348"</f>
        <v>0000348</v>
      </c>
      <c r="G238">
        <v>1</v>
      </c>
      <c r="H238" t="str">
        <f>"00000000"</f>
        <v>00000000</v>
      </c>
      <c r="I238" t="s">
        <v>39</v>
      </c>
      <c r="J238"/>
      <c r="K238">
        <v>275.42</v>
      </c>
      <c r="L238">
        <v>0.0</v>
      </c>
      <c r="M238"/>
      <c r="N238"/>
      <c r="O238">
        <v>49.58</v>
      </c>
      <c r="P238">
        <v>0.0</v>
      </c>
      <c r="Q238">
        <v>325.0</v>
      </c>
      <c r="R238"/>
      <c r="S238"/>
      <c r="T238"/>
      <c r="U238"/>
      <c r="V238"/>
      <c r="W238">
        <v>18</v>
      </c>
    </row>
    <row r="239" spans="1:23">
      <c r="A239"/>
      <c r="B239" t="s">
        <v>55</v>
      </c>
      <c r="C239" t="s">
        <v>55</v>
      </c>
      <c r="D239" t="s">
        <v>37</v>
      </c>
      <c r="E239" t="s">
        <v>38</v>
      </c>
      <c r="F239" t="str">
        <f>"0000349"</f>
        <v>0000349</v>
      </c>
      <c r="G239">
        <v>1</v>
      </c>
      <c r="H239" t="str">
        <f>"00000000"</f>
        <v>00000000</v>
      </c>
      <c r="I239" t="s">
        <v>39</v>
      </c>
      <c r="J239"/>
      <c r="K239">
        <v>423.73</v>
      </c>
      <c r="L239">
        <v>0.0</v>
      </c>
      <c r="M239"/>
      <c r="N239"/>
      <c r="O239">
        <v>76.27</v>
      </c>
      <c r="P239">
        <v>0.0</v>
      </c>
      <c r="Q239">
        <v>500.0</v>
      </c>
      <c r="R239"/>
      <c r="S239"/>
      <c r="T239"/>
      <c r="U239"/>
      <c r="V239"/>
      <c r="W239">
        <v>18</v>
      </c>
    </row>
    <row r="240" spans="1:23">
      <c r="A240"/>
      <c r="B240" t="s">
        <v>55</v>
      </c>
      <c r="C240" t="s">
        <v>55</v>
      </c>
      <c r="D240" t="s">
        <v>37</v>
      </c>
      <c r="E240" t="s">
        <v>38</v>
      </c>
      <c r="F240" t="str">
        <f>"0000350"</f>
        <v>0000350</v>
      </c>
      <c r="G240">
        <v>1</v>
      </c>
      <c r="H240" t="str">
        <f>"00000000"</f>
        <v>00000000</v>
      </c>
      <c r="I240" t="s">
        <v>39</v>
      </c>
      <c r="J240"/>
      <c r="K240">
        <v>296.61</v>
      </c>
      <c r="L240">
        <v>0.0</v>
      </c>
      <c r="M240"/>
      <c r="N240"/>
      <c r="O240">
        <v>53.39</v>
      </c>
      <c r="P240">
        <v>0.0</v>
      </c>
      <c r="Q240">
        <v>350.0</v>
      </c>
      <c r="R240"/>
      <c r="S240"/>
      <c r="T240"/>
      <c r="U240"/>
      <c r="V240"/>
      <c r="W240">
        <v>18</v>
      </c>
    </row>
    <row r="241" spans="1:23">
      <c r="A241"/>
      <c r="B241" t="s">
        <v>56</v>
      </c>
      <c r="C241" t="s">
        <v>56</v>
      </c>
      <c r="D241" t="s">
        <v>37</v>
      </c>
      <c r="E241" t="s">
        <v>38</v>
      </c>
      <c r="F241" t="str">
        <f>"0000351"</f>
        <v>0000351</v>
      </c>
      <c r="G241">
        <v>1</v>
      </c>
      <c r="H241" t="str">
        <f>"00000000"</f>
        <v>00000000</v>
      </c>
      <c r="I241" t="s">
        <v>39</v>
      </c>
      <c r="J241"/>
      <c r="K241">
        <v>254.24</v>
      </c>
      <c r="L241">
        <v>0.0</v>
      </c>
      <c r="M241"/>
      <c r="N241"/>
      <c r="O241">
        <v>45.76</v>
      </c>
      <c r="P241">
        <v>0.0</v>
      </c>
      <c r="Q241">
        <v>300.0</v>
      </c>
      <c r="R241"/>
      <c r="S241"/>
      <c r="T241"/>
      <c r="U241"/>
      <c r="V241"/>
      <c r="W241">
        <v>18</v>
      </c>
    </row>
    <row r="242" spans="1:23">
      <c r="A242"/>
      <c r="B242" t="s">
        <v>56</v>
      </c>
      <c r="C242" t="s">
        <v>56</v>
      </c>
      <c r="D242" t="s">
        <v>37</v>
      </c>
      <c r="E242" t="s">
        <v>38</v>
      </c>
      <c r="F242" t="str">
        <f>"0000352"</f>
        <v>0000352</v>
      </c>
      <c r="G242">
        <v>1</v>
      </c>
      <c r="H242" t="str">
        <f>"00000000"</f>
        <v>00000000</v>
      </c>
      <c r="I242" t="s">
        <v>39</v>
      </c>
      <c r="J242"/>
      <c r="K242">
        <v>296.61</v>
      </c>
      <c r="L242">
        <v>0.0</v>
      </c>
      <c r="M242"/>
      <c r="N242"/>
      <c r="O242">
        <v>53.39</v>
      </c>
      <c r="P242">
        <v>0.0</v>
      </c>
      <c r="Q242">
        <v>350.0</v>
      </c>
      <c r="R242"/>
      <c r="S242"/>
      <c r="T242"/>
      <c r="U242"/>
      <c r="V242"/>
      <c r="W242">
        <v>18</v>
      </c>
    </row>
    <row r="243" spans="1:23">
      <c r="A243"/>
      <c r="B243" t="s">
        <v>56</v>
      </c>
      <c r="C243" t="s">
        <v>56</v>
      </c>
      <c r="D243" t="s">
        <v>37</v>
      </c>
      <c r="E243" t="s">
        <v>38</v>
      </c>
      <c r="F243" t="str">
        <f>"0000353"</f>
        <v>0000353</v>
      </c>
      <c r="G243">
        <v>1</v>
      </c>
      <c r="H243" t="str">
        <f>"00000000"</f>
        <v>00000000</v>
      </c>
      <c r="I243" t="s">
        <v>39</v>
      </c>
      <c r="J243"/>
      <c r="K243">
        <v>254.24</v>
      </c>
      <c r="L243">
        <v>0.0</v>
      </c>
      <c r="M243"/>
      <c r="N243"/>
      <c r="O243">
        <v>45.76</v>
      </c>
      <c r="P243">
        <v>0.0</v>
      </c>
      <c r="Q243">
        <v>300.0</v>
      </c>
      <c r="R243"/>
      <c r="S243"/>
      <c r="T243"/>
      <c r="U243"/>
      <c r="V243"/>
      <c r="W243">
        <v>18</v>
      </c>
    </row>
    <row r="244" spans="1:23">
      <c r="A244"/>
      <c r="B244" t="s">
        <v>56</v>
      </c>
      <c r="C244" t="s">
        <v>56</v>
      </c>
      <c r="D244" t="s">
        <v>37</v>
      </c>
      <c r="E244" t="s">
        <v>38</v>
      </c>
      <c r="F244" t="str">
        <f>"0000354"</f>
        <v>0000354</v>
      </c>
      <c r="G244">
        <v>1</v>
      </c>
      <c r="H244" t="str">
        <f>"00000000"</f>
        <v>00000000</v>
      </c>
      <c r="I244" t="s">
        <v>39</v>
      </c>
      <c r="J244"/>
      <c r="K244">
        <v>398.31</v>
      </c>
      <c r="L244">
        <v>0.0</v>
      </c>
      <c r="M244"/>
      <c r="N244"/>
      <c r="O244">
        <v>71.69</v>
      </c>
      <c r="P244">
        <v>0.0</v>
      </c>
      <c r="Q244">
        <v>470.0</v>
      </c>
      <c r="R244"/>
      <c r="S244"/>
      <c r="T244"/>
      <c r="U244"/>
      <c r="V244"/>
      <c r="W244">
        <v>18</v>
      </c>
    </row>
    <row r="245" spans="1:23">
      <c r="A245"/>
      <c r="B245" t="s">
        <v>56</v>
      </c>
      <c r="C245" t="s">
        <v>56</v>
      </c>
      <c r="D245" t="s">
        <v>37</v>
      </c>
      <c r="E245" t="s">
        <v>38</v>
      </c>
      <c r="F245" t="str">
        <f>"0000355"</f>
        <v>0000355</v>
      </c>
      <c r="G245">
        <v>1</v>
      </c>
      <c r="H245" t="str">
        <f>"00000000"</f>
        <v>00000000</v>
      </c>
      <c r="I245" t="s">
        <v>39</v>
      </c>
      <c r="J245"/>
      <c r="K245">
        <v>186.44</v>
      </c>
      <c r="L245">
        <v>0.0</v>
      </c>
      <c r="M245"/>
      <c r="N245"/>
      <c r="O245">
        <v>33.56</v>
      </c>
      <c r="P245">
        <v>0.0</v>
      </c>
      <c r="Q245">
        <v>220.0</v>
      </c>
      <c r="R245"/>
      <c r="S245"/>
      <c r="T245"/>
      <c r="U245"/>
      <c r="V245"/>
      <c r="W245">
        <v>18</v>
      </c>
    </row>
    <row r="246" spans="1:23">
      <c r="A246"/>
      <c r="B246" t="s">
        <v>56</v>
      </c>
      <c r="C246" t="s">
        <v>56</v>
      </c>
      <c r="D246" t="s">
        <v>37</v>
      </c>
      <c r="E246" t="s">
        <v>38</v>
      </c>
      <c r="F246" t="str">
        <f>"0000356"</f>
        <v>0000356</v>
      </c>
      <c r="G246">
        <v>1</v>
      </c>
      <c r="H246" t="str">
        <f>"00000000"</f>
        <v>00000000</v>
      </c>
      <c r="I246" t="s">
        <v>39</v>
      </c>
      <c r="J246"/>
      <c r="K246">
        <v>330.51</v>
      </c>
      <c r="L246">
        <v>0.0</v>
      </c>
      <c r="M246"/>
      <c r="N246"/>
      <c r="O246">
        <v>59.49</v>
      </c>
      <c r="P246">
        <v>0.0</v>
      </c>
      <c r="Q246">
        <v>390.0</v>
      </c>
      <c r="R246"/>
      <c r="S246"/>
      <c r="T246"/>
      <c r="U246"/>
      <c r="V246"/>
      <c r="W246">
        <v>18</v>
      </c>
    </row>
    <row r="247" spans="1:23">
      <c r="A247"/>
      <c r="B247" t="s">
        <v>56</v>
      </c>
      <c r="C247" t="s">
        <v>56</v>
      </c>
      <c r="D247" t="s">
        <v>37</v>
      </c>
      <c r="E247" t="s">
        <v>38</v>
      </c>
      <c r="F247" t="str">
        <f>"0000357"</f>
        <v>0000357</v>
      </c>
      <c r="G247">
        <v>1</v>
      </c>
      <c r="H247" t="str">
        <f>"00000000"</f>
        <v>00000000</v>
      </c>
      <c r="I247" t="s">
        <v>39</v>
      </c>
      <c r="J247"/>
      <c r="K247">
        <v>347.46</v>
      </c>
      <c r="L247">
        <v>0.0</v>
      </c>
      <c r="M247"/>
      <c r="N247"/>
      <c r="O247">
        <v>62.54</v>
      </c>
      <c r="P247">
        <v>0.0</v>
      </c>
      <c r="Q247">
        <v>410.0</v>
      </c>
      <c r="R247"/>
      <c r="S247"/>
      <c r="T247"/>
      <c r="U247"/>
      <c r="V247"/>
      <c r="W247">
        <v>18</v>
      </c>
    </row>
    <row r="248" spans="1:23">
      <c r="A248"/>
      <c r="B248" t="s">
        <v>56</v>
      </c>
      <c r="C248" t="s">
        <v>56</v>
      </c>
      <c r="D248" t="s">
        <v>37</v>
      </c>
      <c r="E248" t="s">
        <v>38</v>
      </c>
      <c r="F248" t="str">
        <f>"0000358"</f>
        <v>0000358</v>
      </c>
      <c r="G248">
        <v>1</v>
      </c>
      <c r="H248" t="str">
        <f>"00000000"</f>
        <v>00000000</v>
      </c>
      <c r="I248" t="s">
        <v>39</v>
      </c>
      <c r="J248"/>
      <c r="K248">
        <v>207.63</v>
      </c>
      <c r="L248">
        <v>0.0</v>
      </c>
      <c r="M248"/>
      <c r="N248"/>
      <c r="O248">
        <v>37.37</v>
      </c>
      <c r="P248">
        <v>0.0</v>
      </c>
      <c r="Q248">
        <v>245.0</v>
      </c>
      <c r="R248"/>
      <c r="S248"/>
      <c r="T248"/>
      <c r="U248"/>
      <c r="V248"/>
      <c r="W248">
        <v>18</v>
      </c>
    </row>
    <row r="249" spans="1:23">
      <c r="A249"/>
      <c r="B249" t="s">
        <v>56</v>
      </c>
      <c r="C249" t="s">
        <v>56</v>
      </c>
      <c r="D249" t="s">
        <v>37</v>
      </c>
      <c r="E249" t="s">
        <v>38</v>
      </c>
      <c r="F249" t="str">
        <f>"0000359"</f>
        <v>0000359</v>
      </c>
      <c r="G249">
        <v>1</v>
      </c>
      <c r="H249" t="str">
        <f>"00000000"</f>
        <v>00000000</v>
      </c>
      <c r="I249" t="s">
        <v>39</v>
      </c>
      <c r="J249"/>
      <c r="K249">
        <v>296.61</v>
      </c>
      <c r="L249">
        <v>0.0</v>
      </c>
      <c r="M249"/>
      <c r="N249"/>
      <c r="O249">
        <v>53.39</v>
      </c>
      <c r="P249">
        <v>0.0</v>
      </c>
      <c r="Q249">
        <v>350.0</v>
      </c>
      <c r="R249"/>
      <c r="S249"/>
      <c r="T249"/>
      <c r="U249"/>
      <c r="V249"/>
      <c r="W249">
        <v>18</v>
      </c>
    </row>
    <row r="250" spans="1:23">
      <c r="A250"/>
      <c r="B250" t="s">
        <v>56</v>
      </c>
      <c r="C250" t="s">
        <v>56</v>
      </c>
      <c r="D250" t="s">
        <v>37</v>
      </c>
      <c r="E250" t="s">
        <v>38</v>
      </c>
      <c r="F250" t="str">
        <f>"0000360"</f>
        <v>0000360</v>
      </c>
      <c r="G250">
        <v>1</v>
      </c>
      <c r="H250" t="str">
        <f>"00000000"</f>
        <v>00000000</v>
      </c>
      <c r="I250" t="s">
        <v>39</v>
      </c>
      <c r="J250"/>
      <c r="K250">
        <v>271.19</v>
      </c>
      <c r="L250">
        <v>0.0</v>
      </c>
      <c r="M250"/>
      <c r="N250"/>
      <c r="O250">
        <v>48.81</v>
      </c>
      <c r="P250">
        <v>0.0</v>
      </c>
      <c r="Q250">
        <v>320.0</v>
      </c>
      <c r="R250"/>
      <c r="S250"/>
      <c r="T250"/>
      <c r="U250"/>
      <c r="V250"/>
      <c r="W250">
        <v>18</v>
      </c>
    </row>
    <row r="251" spans="1:23">
      <c r="A251"/>
      <c r="B251" t="s">
        <v>56</v>
      </c>
      <c r="C251" t="s">
        <v>56</v>
      </c>
      <c r="D251" t="s">
        <v>37</v>
      </c>
      <c r="E251" t="s">
        <v>38</v>
      </c>
      <c r="F251" t="str">
        <f>"0000361"</f>
        <v>0000361</v>
      </c>
      <c r="G251">
        <v>1</v>
      </c>
      <c r="H251" t="str">
        <f>"00000000"</f>
        <v>00000000</v>
      </c>
      <c r="I251" t="s">
        <v>39</v>
      </c>
      <c r="J251"/>
      <c r="K251">
        <v>169.49</v>
      </c>
      <c r="L251">
        <v>0.0</v>
      </c>
      <c r="M251"/>
      <c r="N251"/>
      <c r="O251">
        <v>30.51</v>
      </c>
      <c r="P251">
        <v>0.0</v>
      </c>
      <c r="Q251">
        <v>200.0</v>
      </c>
      <c r="R251"/>
      <c r="S251"/>
      <c r="T251"/>
      <c r="U251"/>
      <c r="V251"/>
      <c r="W251">
        <v>18</v>
      </c>
    </row>
    <row r="252" spans="1:23">
      <c r="A252"/>
      <c r="B252" t="s">
        <v>56</v>
      </c>
      <c r="C252" t="s">
        <v>56</v>
      </c>
      <c r="D252" t="s">
        <v>37</v>
      </c>
      <c r="E252" t="s">
        <v>38</v>
      </c>
      <c r="F252" t="str">
        <f>"0000362"</f>
        <v>0000362</v>
      </c>
      <c r="G252">
        <v>1</v>
      </c>
      <c r="H252" t="str">
        <f>"00000000"</f>
        <v>00000000</v>
      </c>
      <c r="I252" t="s">
        <v>39</v>
      </c>
      <c r="J252"/>
      <c r="K252">
        <v>338.98</v>
      </c>
      <c r="L252">
        <v>0.0</v>
      </c>
      <c r="M252"/>
      <c r="N252"/>
      <c r="O252">
        <v>61.02</v>
      </c>
      <c r="P252">
        <v>0.0</v>
      </c>
      <c r="Q252">
        <v>400.0</v>
      </c>
      <c r="R252"/>
      <c r="S252"/>
      <c r="T252"/>
      <c r="U252"/>
      <c r="V252"/>
      <c r="W252">
        <v>18</v>
      </c>
    </row>
    <row r="253" spans="1:23">
      <c r="A253"/>
      <c r="B253" t="s">
        <v>56</v>
      </c>
      <c r="C253" t="s">
        <v>56</v>
      </c>
      <c r="D253" t="s">
        <v>37</v>
      </c>
      <c r="E253" t="s">
        <v>38</v>
      </c>
      <c r="F253" t="str">
        <f>"0000363"</f>
        <v>0000363</v>
      </c>
      <c r="G253">
        <v>1</v>
      </c>
      <c r="H253" t="str">
        <f>"00000000"</f>
        <v>00000000</v>
      </c>
      <c r="I253" t="s">
        <v>39</v>
      </c>
      <c r="J253"/>
      <c r="K253">
        <v>241.53</v>
      </c>
      <c r="L253">
        <v>0.0</v>
      </c>
      <c r="M253"/>
      <c r="N253"/>
      <c r="O253">
        <v>43.47</v>
      </c>
      <c r="P253">
        <v>0.0</v>
      </c>
      <c r="Q253">
        <v>285.0</v>
      </c>
      <c r="R253"/>
      <c r="S253"/>
      <c r="T253"/>
      <c r="U253"/>
      <c r="V253"/>
      <c r="W253">
        <v>18</v>
      </c>
    </row>
    <row r="254" spans="1:23">
      <c r="A254"/>
      <c r="B254" t="s">
        <v>56</v>
      </c>
      <c r="C254" t="s">
        <v>56</v>
      </c>
      <c r="D254" t="s">
        <v>37</v>
      </c>
      <c r="E254" t="s">
        <v>38</v>
      </c>
      <c r="F254" t="str">
        <f>"0000364"</f>
        <v>0000364</v>
      </c>
      <c r="G254">
        <v>1</v>
      </c>
      <c r="H254" t="str">
        <f>"00000000"</f>
        <v>00000000</v>
      </c>
      <c r="I254" t="s">
        <v>39</v>
      </c>
      <c r="J254"/>
      <c r="K254">
        <v>338.98</v>
      </c>
      <c r="L254">
        <v>0.0</v>
      </c>
      <c r="M254"/>
      <c r="N254"/>
      <c r="O254">
        <v>61.02</v>
      </c>
      <c r="P254">
        <v>0.0</v>
      </c>
      <c r="Q254">
        <v>400.0</v>
      </c>
      <c r="R254"/>
      <c r="S254"/>
      <c r="T254"/>
      <c r="U254"/>
      <c r="V254"/>
      <c r="W254">
        <v>18</v>
      </c>
    </row>
    <row r="255" spans="1:23">
      <c r="A255"/>
      <c r="B255" t="s">
        <v>56</v>
      </c>
      <c r="C255" t="s">
        <v>56</v>
      </c>
      <c r="D255" t="s">
        <v>37</v>
      </c>
      <c r="E255" t="s">
        <v>38</v>
      </c>
      <c r="F255" t="str">
        <f>"0000365"</f>
        <v>0000365</v>
      </c>
      <c r="G255">
        <v>1</v>
      </c>
      <c r="H255" t="str">
        <f>"00000000"</f>
        <v>00000000</v>
      </c>
      <c r="I255" t="s">
        <v>39</v>
      </c>
      <c r="J255"/>
      <c r="K255">
        <v>220.34</v>
      </c>
      <c r="L255">
        <v>0.0</v>
      </c>
      <c r="M255"/>
      <c r="N255"/>
      <c r="O255">
        <v>39.66</v>
      </c>
      <c r="P255">
        <v>0.0</v>
      </c>
      <c r="Q255">
        <v>260.0</v>
      </c>
      <c r="R255"/>
      <c r="S255"/>
      <c r="T255"/>
      <c r="U255"/>
      <c r="V255"/>
      <c r="W255">
        <v>18</v>
      </c>
    </row>
    <row r="256" spans="1:23">
      <c r="A256"/>
      <c r="B256" t="s">
        <v>56</v>
      </c>
      <c r="C256" t="s">
        <v>56</v>
      </c>
      <c r="D256" t="s">
        <v>37</v>
      </c>
      <c r="E256" t="s">
        <v>38</v>
      </c>
      <c r="F256" t="str">
        <f>"0000366"</f>
        <v>0000366</v>
      </c>
      <c r="G256">
        <v>1</v>
      </c>
      <c r="H256" t="str">
        <f>"00000000"</f>
        <v>00000000</v>
      </c>
      <c r="I256" t="s">
        <v>39</v>
      </c>
      <c r="J256"/>
      <c r="K256">
        <v>220.34</v>
      </c>
      <c r="L256">
        <v>0.0</v>
      </c>
      <c r="M256"/>
      <c r="N256"/>
      <c r="O256">
        <v>39.66</v>
      </c>
      <c r="P256">
        <v>0.0</v>
      </c>
      <c r="Q256">
        <v>260.0</v>
      </c>
      <c r="R256"/>
      <c r="S256"/>
      <c r="T256"/>
      <c r="U256"/>
      <c r="V256"/>
      <c r="W256">
        <v>18</v>
      </c>
    </row>
    <row r="257" spans="1:23">
      <c r="A257"/>
      <c r="B257" t="s">
        <v>56</v>
      </c>
      <c r="C257" t="s">
        <v>56</v>
      </c>
      <c r="D257" t="s">
        <v>37</v>
      </c>
      <c r="E257" t="s">
        <v>38</v>
      </c>
      <c r="F257" t="str">
        <f>"0000367"</f>
        <v>0000367</v>
      </c>
      <c r="G257">
        <v>1</v>
      </c>
      <c r="H257" t="str">
        <f>"00000000"</f>
        <v>00000000</v>
      </c>
      <c r="I257" t="s">
        <v>39</v>
      </c>
      <c r="J257"/>
      <c r="K257">
        <v>237.29</v>
      </c>
      <c r="L257">
        <v>0.0</v>
      </c>
      <c r="M257"/>
      <c r="N257"/>
      <c r="O257">
        <v>42.71</v>
      </c>
      <c r="P257">
        <v>0.0</v>
      </c>
      <c r="Q257">
        <v>280.0</v>
      </c>
      <c r="R257"/>
      <c r="S257"/>
      <c r="T257"/>
      <c r="U257"/>
      <c r="V257"/>
      <c r="W257">
        <v>18</v>
      </c>
    </row>
    <row r="258" spans="1:23">
      <c r="A258"/>
      <c r="B258" t="s">
        <v>56</v>
      </c>
      <c r="C258" t="s">
        <v>56</v>
      </c>
      <c r="D258" t="s">
        <v>37</v>
      </c>
      <c r="E258" t="s">
        <v>38</v>
      </c>
      <c r="F258" t="str">
        <f>"0000368"</f>
        <v>0000368</v>
      </c>
      <c r="G258">
        <v>1</v>
      </c>
      <c r="H258" t="str">
        <f>"00000000"</f>
        <v>00000000</v>
      </c>
      <c r="I258" t="s">
        <v>39</v>
      </c>
      <c r="J258"/>
      <c r="K258">
        <v>271.19</v>
      </c>
      <c r="L258">
        <v>0.0</v>
      </c>
      <c r="M258"/>
      <c r="N258"/>
      <c r="O258">
        <v>48.81</v>
      </c>
      <c r="P258">
        <v>0.0</v>
      </c>
      <c r="Q258">
        <v>320.0</v>
      </c>
      <c r="R258"/>
      <c r="S258"/>
      <c r="T258"/>
      <c r="U258"/>
      <c r="V258"/>
      <c r="W258">
        <v>18</v>
      </c>
    </row>
    <row r="259" spans="1:23">
      <c r="A259"/>
      <c r="B259" t="s">
        <v>56</v>
      </c>
      <c r="C259" t="s">
        <v>56</v>
      </c>
      <c r="D259" t="s">
        <v>37</v>
      </c>
      <c r="E259" t="s">
        <v>38</v>
      </c>
      <c r="F259" t="str">
        <f>"0000369"</f>
        <v>0000369</v>
      </c>
      <c r="G259">
        <v>1</v>
      </c>
      <c r="H259" t="str">
        <f>"00000000"</f>
        <v>00000000</v>
      </c>
      <c r="I259" t="s">
        <v>39</v>
      </c>
      <c r="J259"/>
      <c r="K259">
        <v>220.34</v>
      </c>
      <c r="L259">
        <v>0.0</v>
      </c>
      <c r="M259"/>
      <c r="N259"/>
      <c r="O259">
        <v>39.66</v>
      </c>
      <c r="P259">
        <v>0.0</v>
      </c>
      <c r="Q259">
        <v>260.0</v>
      </c>
      <c r="R259"/>
      <c r="S259"/>
      <c r="T259"/>
      <c r="U259"/>
      <c r="V259"/>
      <c r="W259">
        <v>18</v>
      </c>
    </row>
    <row r="260" spans="1:23">
      <c r="A260"/>
      <c r="B260" t="s">
        <v>56</v>
      </c>
      <c r="C260" t="s">
        <v>56</v>
      </c>
      <c r="D260" t="s">
        <v>37</v>
      </c>
      <c r="E260" t="s">
        <v>38</v>
      </c>
      <c r="F260" t="str">
        <f>"0000370"</f>
        <v>0000370</v>
      </c>
      <c r="G260">
        <v>1</v>
      </c>
      <c r="H260" t="str">
        <f>"00000000"</f>
        <v>00000000</v>
      </c>
      <c r="I260" t="s">
        <v>39</v>
      </c>
      <c r="J260"/>
      <c r="K260">
        <v>237.29</v>
      </c>
      <c r="L260">
        <v>0.0</v>
      </c>
      <c r="M260"/>
      <c r="N260"/>
      <c r="O260">
        <v>42.71</v>
      </c>
      <c r="P260">
        <v>0.0</v>
      </c>
      <c r="Q260">
        <v>280.0</v>
      </c>
      <c r="R260"/>
      <c r="S260"/>
      <c r="T260"/>
      <c r="U260"/>
      <c r="V260"/>
      <c r="W260">
        <v>18</v>
      </c>
    </row>
    <row r="261" spans="1:23">
      <c r="A261"/>
      <c r="B261" t="s">
        <v>56</v>
      </c>
      <c r="C261" t="s">
        <v>56</v>
      </c>
      <c r="D261" t="s">
        <v>37</v>
      </c>
      <c r="E261" t="s">
        <v>38</v>
      </c>
      <c r="F261" t="str">
        <f>"0000371"</f>
        <v>0000371</v>
      </c>
      <c r="G261">
        <v>1</v>
      </c>
      <c r="H261" t="str">
        <f>"00000000"</f>
        <v>00000000</v>
      </c>
      <c r="I261" t="s">
        <v>39</v>
      </c>
      <c r="J261"/>
      <c r="K261">
        <v>423.73</v>
      </c>
      <c r="L261">
        <v>0.0</v>
      </c>
      <c r="M261"/>
      <c r="N261"/>
      <c r="O261">
        <v>76.27</v>
      </c>
      <c r="P261">
        <v>0.0</v>
      </c>
      <c r="Q261">
        <v>500.0</v>
      </c>
      <c r="R261"/>
      <c r="S261"/>
      <c r="T261"/>
      <c r="U261"/>
      <c r="V261"/>
      <c r="W261">
        <v>18</v>
      </c>
    </row>
    <row r="262" spans="1:23">
      <c r="A262"/>
      <c r="B262" t="s">
        <v>56</v>
      </c>
      <c r="C262" t="s">
        <v>56</v>
      </c>
      <c r="D262" t="s">
        <v>37</v>
      </c>
      <c r="E262" t="s">
        <v>38</v>
      </c>
      <c r="F262" t="str">
        <f>"0000372"</f>
        <v>0000372</v>
      </c>
      <c r="G262">
        <v>1</v>
      </c>
      <c r="H262" t="str">
        <f>"00000000"</f>
        <v>00000000</v>
      </c>
      <c r="I262" t="s">
        <v>39</v>
      </c>
      <c r="J262"/>
      <c r="K262">
        <v>415.25</v>
      </c>
      <c r="L262">
        <v>0.0</v>
      </c>
      <c r="M262"/>
      <c r="N262"/>
      <c r="O262">
        <v>74.75</v>
      </c>
      <c r="P262">
        <v>0.0</v>
      </c>
      <c r="Q262">
        <v>490.0</v>
      </c>
      <c r="R262"/>
      <c r="S262"/>
      <c r="T262"/>
      <c r="U262"/>
      <c r="V262"/>
      <c r="W262">
        <v>18</v>
      </c>
    </row>
    <row r="263" spans="1:23">
      <c r="A263"/>
      <c r="B263" t="s">
        <v>56</v>
      </c>
      <c r="C263" t="s">
        <v>56</v>
      </c>
      <c r="D263" t="s">
        <v>37</v>
      </c>
      <c r="E263" t="s">
        <v>38</v>
      </c>
      <c r="F263" t="str">
        <f>"0000373"</f>
        <v>0000373</v>
      </c>
      <c r="G263">
        <v>1</v>
      </c>
      <c r="H263" t="str">
        <f>"00000000"</f>
        <v>00000000</v>
      </c>
      <c r="I263" t="s">
        <v>39</v>
      </c>
      <c r="J263"/>
      <c r="K263">
        <v>161.02</v>
      </c>
      <c r="L263">
        <v>0.0</v>
      </c>
      <c r="M263"/>
      <c r="N263"/>
      <c r="O263">
        <v>28.98</v>
      </c>
      <c r="P263">
        <v>0.0</v>
      </c>
      <c r="Q263">
        <v>190.0</v>
      </c>
      <c r="R263"/>
      <c r="S263"/>
      <c r="T263"/>
      <c r="U263"/>
      <c r="V263"/>
      <c r="W263">
        <v>18</v>
      </c>
    </row>
    <row r="264" spans="1:23">
      <c r="A264"/>
      <c r="B264" t="s">
        <v>56</v>
      </c>
      <c r="C264" t="s">
        <v>56</v>
      </c>
      <c r="D264" t="s">
        <v>37</v>
      </c>
      <c r="E264" t="s">
        <v>38</v>
      </c>
      <c r="F264" t="str">
        <f>"0000374"</f>
        <v>0000374</v>
      </c>
      <c r="G264">
        <v>1</v>
      </c>
      <c r="H264" t="str">
        <f>"00000000"</f>
        <v>00000000</v>
      </c>
      <c r="I264" t="s">
        <v>39</v>
      </c>
      <c r="J264"/>
      <c r="K264">
        <v>355.93</v>
      </c>
      <c r="L264">
        <v>0.0</v>
      </c>
      <c r="M264"/>
      <c r="N264"/>
      <c r="O264">
        <v>64.07</v>
      </c>
      <c r="P264">
        <v>0.0</v>
      </c>
      <c r="Q264">
        <v>420.0</v>
      </c>
      <c r="R264"/>
      <c r="S264"/>
      <c r="T264"/>
      <c r="U264"/>
      <c r="V264"/>
      <c r="W264">
        <v>18</v>
      </c>
    </row>
    <row r="265" spans="1:23">
      <c r="A265"/>
      <c r="B265" t="s">
        <v>56</v>
      </c>
      <c r="C265" t="s">
        <v>56</v>
      </c>
      <c r="D265" t="s">
        <v>37</v>
      </c>
      <c r="E265" t="s">
        <v>38</v>
      </c>
      <c r="F265" t="str">
        <f>"0000375"</f>
        <v>0000375</v>
      </c>
      <c r="G265">
        <v>1</v>
      </c>
      <c r="H265" t="str">
        <f>"00000000"</f>
        <v>00000000</v>
      </c>
      <c r="I265" t="s">
        <v>39</v>
      </c>
      <c r="J265"/>
      <c r="K265">
        <v>135.59</v>
      </c>
      <c r="L265">
        <v>0.0</v>
      </c>
      <c r="M265"/>
      <c r="N265"/>
      <c r="O265">
        <v>24.41</v>
      </c>
      <c r="P265">
        <v>0.0</v>
      </c>
      <c r="Q265">
        <v>160.0</v>
      </c>
      <c r="R265"/>
      <c r="S265"/>
      <c r="T265"/>
      <c r="U265"/>
      <c r="V265"/>
      <c r="W265">
        <v>18</v>
      </c>
    </row>
    <row r="266" spans="1:23">
      <c r="A266"/>
      <c r="B266" t="s">
        <v>56</v>
      </c>
      <c r="C266" t="s">
        <v>56</v>
      </c>
      <c r="D266" t="s">
        <v>37</v>
      </c>
      <c r="E266" t="s">
        <v>38</v>
      </c>
      <c r="F266" t="str">
        <f>"0000376"</f>
        <v>0000376</v>
      </c>
      <c r="G266">
        <v>1</v>
      </c>
      <c r="H266" t="str">
        <f>"00000000"</f>
        <v>00000000</v>
      </c>
      <c r="I266" t="s">
        <v>39</v>
      </c>
      <c r="J266"/>
      <c r="K266">
        <v>305.08</v>
      </c>
      <c r="L266">
        <v>0.0</v>
      </c>
      <c r="M266"/>
      <c r="N266"/>
      <c r="O266">
        <v>54.92</v>
      </c>
      <c r="P266">
        <v>0.0</v>
      </c>
      <c r="Q266">
        <v>360.0</v>
      </c>
      <c r="R266"/>
      <c r="S266"/>
      <c r="T266"/>
      <c r="U266"/>
      <c r="V266"/>
      <c r="W266">
        <v>18</v>
      </c>
    </row>
    <row r="267" spans="1:23">
      <c r="A267"/>
      <c r="B267" t="s">
        <v>56</v>
      </c>
      <c r="C267" t="s">
        <v>56</v>
      </c>
      <c r="D267" t="s">
        <v>37</v>
      </c>
      <c r="E267" t="s">
        <v>38</v>
      </c>
      <c r="F267" t="str">
        <f>"0000377"</f>
        <v>0000377</v>
      </c>
      <c r="G267">
        <v>1</v>
      </c>
      <c r="H267" t="str">
        <f>"00000000"</f>
        <v>00000000</v>
      </c>
      <c r="I267" t="s">
        <v>39</v>
      </c>
      <c r="J267"/>
      <c r="K267">
        <v>220.34</v>
      </c>
      <c r="L267">
        <v>0.0</v>
      </c>
      <c r="M267"/>
      <c r="N267"/>
      <c r="O267">
        <v>39.66</v>
      </c>
      <c r="P267">
        <v>0.0</v>
      </c>
      <c r="Q267">
        <v>260.0</v>
      </c>
      <c r="R267"/>
      <c r="S267"/>
      <c r="T267"/>
      <c r="U267"/>
      <c r="V267"/>
      <c r="W267">
        <v>18</v>
      </c>
    </row>
    <row r="268" spans="1:23">
      <c r="A268"/>
      <c r="B268" t="s">
        <v>57</v>
      </c>
      <c r="C268" t="s">
        <v>57</v>
      </c>
      <c r="D268" t="s">
        <v>37</v>
      </c>
      <c r="E268" t="s">
        <v>38</v>
      </c>
      <c r="F268" t="str">
        <f>"0000378"</f>
        <v>0000378</v>
      </c>
      <c r="G268">
        <v>1</v>
      </c>
      <c r="H268" t="str">
        <f>"00000000"</f>
        <v>00000000</v>
      </c>
      <c r="I268" t="s">
        <v>39</v>
      </c>
      <c r="J268"/>
      <c r="K268">
        <v>220.34</v>
      </c>
      <c r="L268">
        <v>0.0</v>
      </c>
      <c r="M268"/>
      <c r="N268"/>
      <c r="O268">
        <v>39.66</v>
      </c>
      <c r="P268">
        <v>0.0</v>
      </c>
      <c r="Q268">
        <v>260.0</v>
      </c>
      <c r="R268"/>
      <c r="S268"/>
      <c r="T268"/>
      <c r="U268"/>
      <c r="V268"/>
      <c r="W268">
        <v>18</v>
      </c>
    </row>
    <row r="269" spans="1:23">
      <c r="A269"/>
      <c r="B269" t="s">
        <v>57</v>
      </c>
      <c r="C269" t="s">
        <v>57</v>
      </c>
      <c r="D269" t="s">
        <v>37</v>
      </c>
      <c r="E269" t="s">
        <v>38</v>
      </c>
      <c r="F269" t="str">
        <f>"0000379"</f>
        <v>0000379</v>
      </c>
      <c r="G269">
        <v>1</v>
      </c>
      <c r="H269" t="str">
        <f>"00000000"</f>
        <v>00000000</v>
      </c>
      <c r="I269" t="s">
        <v>39</v>
      </c>
      <c r="J269"/>
      <c r="K269">
        <v>186.44</v>
      </c>
      <c r="L269">
        <v>0.0</v>
      </c>
      <c r="M269"/>
      <c r="N269"/>
      <c r="O269">
        <v>33.56</v>
      </c>
      <c r="P269">
        <v>0.0</v>
      </c>
      <c r="Q269">
        <v>220.0</v>
      </c>
      <c r="R269"/>
      <c r="S269"/>
      <c r="T269"/>
      <c r="U269"/>
      <c r="V269"/>
      <c r="W269">
        <v>18</v>
      </c>
    </row>
    <row r="270" spans="1:23">
      <c r="A270"/>
      <c r="B270" t="s">
        <v>57</v>
      </c>
      <c r="C270" t="s">
        <v>57</v>
      </c>
      <c r="D270" t="s">
        <v>37</v>
      </c>
      <c r="E270" t="s">
        <v>38</v>
      </c>
      <c r="F270" t="str">
        <f>"0000380"</f>
        <v>0000380</v>
      </c>
      <c r="G270">
        <v>1</v>
      </c>
      <c r="H270" t="str">
        <f>"00000000"</f>
        <v>00000000</v>
      </c>
      <c r="I270" t="s">
        <v>39</v>
      </c>
      <c r="J270"/>
      <c r="K270">
        <v>161.02</v>
      </c>
      <c r="L270">
        <v>0.0</v>
      </c>
      <c r="M270"/>
      <c r="N270"/>
      <c r="O270">
        <v>28.98</v>
      </c>
      <c r="P270">
        <v>0.0</v>
      </c>
      <c r="Q270">
        <v>190.0</v>
      </c>
      <c r="R270"/>
      <c r="S270"/>
      <c r="T270"/>
      <c r="U270"/>
      <c r="V270"/>
      <c r="W270">
        <v>18</v>
      </c>
    </row>
    <row r="271" spans="1:23">
      <c r="A271"/>
      <c r="B271" t="s">
        <v>57</v>
      </c>
      <c r="C271" t="s">
        <v>57</v>
      </c>
      <c r="D271" t="s">
        <v>37</v>
      </c>
      <c r="E271" t="s">
        <v>38</v>
      </c>
      <c r="F271" t="str">
        <f>"0000381"</f>
        <v>0000381</v>
      </c>
      <c r="G271">
        <v>1</v>
      </c>
      <c r="H271" t="str">
        <f>"00000000"</f>
        <v>00000000</v>
      </c>
      <c r="I271" t="s">
        <v>39</v>
      </c>
      <c r="J271"/>
      <c r="K271">
        <v>169.49</v>
      </c>
      <c r="L271">
        <v>0.0</v>
      </c>
      <c r="M271"/>
      <c r="N271"/>
      <c r="O271">
        <v>30.51</v>
      </c>
      <c r="P271">
        <v>0.0</v>
      </c>
      <c r="Q271">
        <v>200.0</v>
      </c>
      <c r="R271"/>
      <c r="S271"/>
      <c r="T271"/>
      <c r="U271"/>
      <c r="V271"/>
      <c r="W271">
        <v>18</v>
      </c>
    </row>
    <row r="272" spans="1:23">
      <c r="A272"/>
      <c r="B272" t="s">
        <v>57</v>
      </c>
      <c r="C272" t="s">
        <v>57</v>
      </c>
      <c r="D272" t="s">
        <v>37</v>
      </c>
      <c r="E272" t="s">
        <v>38</v>
      </c>
      <c r="F272" t="str">
        <f>"0000382"</f>
        <v>0000382</v>
      </c>
      <c r="G272">
        <v>1</v>
      </c>
      <c r="H272" t="str">
        <f>"00000000"</f>
        <v>00000000</v>
      </c>
      <c r="I272" t="s">
        <v>39</v>
      </c>
      <c r="J272"/>
      <c r="K272">
        <v>296.61</v>
      </c>
      <c r="L272">
        <v>0.0</v>
      </c>
      <c r="M272"/>
      <c r="N272"/>
      <c r="O272">
        <v>53.39</v>
      </c>
      <c r="P272">
        <v>0.0</v>
      </c>
      <c r="Q272">
        <v>350.0</v>
      </c>
      <c r="R272"/>
      <c r="S272"/>
      <c r="T272"/>
      <c r="U272"/>
      <c r="V272"/>
      <c r="W272">
        <v>18</v>
      </c>
    </row>
    <row r="273" spans="1:23">
      <c r="A273"/>
      <c r="B273" t="s">
        <v>57</v>
      </c>
      <c r="C273" t="s">
        <v>57</v>
      </c>
      <c r="D273" t="s">
        <v>37</v>
      </c>
      <c r="E273" t="s">
        <v>38</v>
      </c>
      <c r="F273" t="str">
        <f>"0000383"</f>
        <v>0000383</v>
      </c>
      <c r="G273">
        <v>1</v>
      </c>
      <c r="H273" t="str">
        <f>"00000000"</f>
        <v>00000000</v>
      </c>
      <c r="I273" t="s">
        <v>39</v>
      </c>
      <c r="J273"/>
      <c r="K273">
        <v>296.61</v>
      </c>
      <c r="L273">
        <v>0.0</v>
      </c>
      <c r="M273"/>
      <c r="N273"/>
      <c r="O273">
        <v>53.39</v>
      </c>
      <c r="P273">
        <v>0.0</v>
      </c>
      <c r="Q273">
        <v>350.0</v>
      </c>
      <c r="R273"/>
      <c r="S273"/>
      <c r="T273"/>
      <c r="U273"/>
      <c r="V273"/>
      <c r="W273">
        <v>18</v>
      </c>
    </row>
    <row r="274" spans="1:23">
      <c r="A274"/>
      <c r="B274" t="s">
        <v>57</v>
      </c>
      <c r="C274" t="s">
        <v>57</v>
      </c>
      <c r="D274" t="s">
        <v>37</v>
      </c>
      <c r="E274" t="s">
        <v>38</v>
      </c>
      <c r="F274" t="str">
        <f>"0000384"</f>
        <v>0000384</v>
      </c>
      <c r="G274">
        <v>1</v>
      </c>
      <c r="H274" t="str">
        <f>"00000000"</f>
        <v>00000000</v>
      </c>
      <c r="I274" t="s">
        <v>39</v>
      </c>
      <c r="J274"/>
      <c r="K274">
        <v>381.36</v>
      </c>
      <c r="L274">
        <v>0.0</v>
      </c>
      <c r="M274"/>
      <c r="N274"/>
      <c r="O274">
        <v>68.64</v>
      </c>
      <c r="P274">
        <v>0.0</v>
      </c>
      <c r="Q274">
        <v>450.0</v>
      </c>
      <c r="R274"/>
      <c r="S274"/>
      <c r="T274"/>
      <c r="U274"/>
      <c r="V274"/>
      <c r="W274">
        <v>18</v>
      </c>
    </row>
    <row r="275" spans="1:23">
      <c r="A275"/>
      <c r="B275" t="s">
        <v>57</v>
      </c>
      <c r="C275" t="s">
        <v>57</v>
      </c>
      <c r="D275" t="s">
        <v>37</v>
      </c>
      <c r="E275" t="s">
        <v>38</v>
      </c>
      <c r="F275" t="str">
        <f>"0000385"</f>
        <v>0000385</v>
      </c>
      <c r="G275">
        <v>1</v>
      </c>
      <c r="H275" t="str">
        <f>"00000000"</f>
        <v>00000000</v>
      </c>
      <c r="I275" t="s">
        <v>39</v>
      </c>
      <c r="J275"/>
      <c r="K275">
        <v>279.66</v>
      </c>
      <c r="L275">
        <v>0.0</v>
      </c>
      <c r="M275"/>
      <c r="N275"/>
      <c r="O275">
        <v>50.34</v>
      </c>
      <c r="P275">
        <v>0.0</v>
      </c>
      <c r="Q275">
        <v>330.0</v>
      </c>
      <c r="R275"/>
      <c r="S275"/>
      <c r="T275"/>
      <c r="U275"/>
      <c r="V275"/>
      <c r="W275">
        <v>18</v>
      </c>
    </row>
    <row r="276" spans="1:23">
      <c r="A276"/>
      <c r="B276" t="s">
        <v>57</v>
      </c>
      <c r="C276" t="s">
        <v>57</v>
      </c>
      <c r="D276" t="s">
        <v>37</v>
      </c>
      <c r="E276" t="s">
        <v>38</v>
      </c>
      <c r="F276" t="str">
        <f>"0000386"</f>
        <v>0000386</v>
      </c>
      <c r="G276">
        <v>1</v>
      </c>
      <c r="H276" t="str">
        <f>"00000000"</f>
        <v>00000000</v>
      </c>
      <c r="I276" t="s">
        <v>39</v>
      </c>
      <c r="J276"/>
      <c r="K276">
        <v>254.24</v>
      </c>
      <c r="L276">
        <v>0.0</v>
      </c>
      <c r="M276"/>
      <c r="N276"/>
      <c r="O276">
        <v>45.76</v>
      </c>
      <c r="P276">
        <v>0.0</v>
      </c>
      <c r="Q276">
        <v>300.0</v>
      </c>
      <c r="R276"/>
      <c r="S276"/>
      <c r="T276"/>
      <c r="U276"/>
      <c r="V276"/>
      <c r="W276">
        <v>18</v>
      </c>
    </row>
    <row r="277" spans="1:23">
      <c r="A277"/>
      <c r="B277" t="s">
        <v>57</v>
      </c>
      <c r="C277" t="s">
        <v>57</v>
      </c>
      <c r="D277" t="s">
        <v>37</v>
      </c>
      <c r="E277" t="s">
        <v>38</v>
      </c>
      <c r="F277" t="str">
        <f>"0000387"</f>
        <v>0000387</v>
      </c>
      <c r="G277">
        <v>1</v>
      </c>
      <c r="H277" t="str">
        <f>"00000000"</f>
        <v>00000000</v>
      </c>
      <c r="I277" t="s">
        <v>39</v>
      </c>
      <c r="J277"/>
      <c r="K277">
        <v>182.2</v>
      </c>
      <c r="L277">
        <v>0.0</v>
      </c>
      <c r="M277"/>
      <c r="N277"/>
      <c r="O277">
        <v>32.8</v>
      </c>
      <c r="P277">
        <v>0.0</v>
      </c>
      <c r="Q277">
        <v>215.0</v>
      </c>
      <c r="R277"/>
      <c r="S277"/>
      <c r="T277"/>
      <c r="U277"/>
      <c r="V277"/>
      <c r="W277">
        <v>18</v>
      </c>
    </row>
    <row r="278" spans="1:23">
      <c r="A278"/>
      <c r="B278" t="s">
        <v>57</v>
      </c>
      <c r="C278" t="s">
        <v>57</v>
      </c>
      <c r="D278" t="s">
        <v>37</v>
      </c>
      <c r="E278" t="s">
        <v>38</v>
      </c>
      <c r="F278" t="str">
        <f>"0000388"</f>
        <v>0000388</v>
      </c>
      <c r="G278">
        <v>1</v>
      </c>
      <c r="H278" t="str">
        <f>"00000000"</f>
        <v>00000000</v>
      </c>
      <c r="I278" t="s">
        <v>39</v>
      </c>
      <c r="J278"/>
      <c r="K278">
        <v>161.02</v>
      </c>
      <c r="L278">
        <v>0.0</v>
      </c>
      <c r="M278"/>
      <c r="N278"/>
      <c r="O278">
        <v>28.98</v>
      </c>
      <c r="P278">
        <v>0.0</v>
      </c>
      <c r="Q278">
        <v>190.0</v>
      </c>
      <c r="R278"/>
      <c r="S278"/>
      <c r="T278"/>
      <c r="U278"/>
      <c r="V278"/>
      <c r="W278">
        <v>18</v>
      </c>
    </row>
    <row r="279" spans="1:23">
      <c r="A279"/>
      <c r="B279" t="s">
        <v>57</v>
      </c>
      <c r="C279" t="s">
        <v>57</v>
      </c>
      <c r="D279" t="s">
        <v>37</v>
      </c>
      <c r="E279" t="s">
        <v>38</v>
      </c>
      <c r="F279" t="str">
        <f>"0000389"</f>
        <v>0000389</v>
      </c>
      <c r="G279">
        <v>1</v>
      </c>
      <c r="H279" t="str">
        <f>"00000000"</f>
        <v>00000000</v>
      </c>
      <c r="I279" t="s">
        <v>39</v>
      </c>
      <c r="J279"/>
      <c r="K279">
        <v>296.61</v>
      </c>
      <c r="L279">
        <v>0.0</v>
      </c>
      <c r="M279"/>
      <c r="N279"/>
      <c r="O279">
        <v>53.39</v>
      </c>
      <c r="P279">
        <v>0.0</v>
      </c>
      <c r="Q279">
        <v>350.0</v>
      </c>
      <c r="R279"/>
      <c r="S279"/>
      <c r="T279"/>
      <c r="U279"/>
      <c r="V279"/>
      <c r="W279">
        <v>18</v>
      </c>
    </row>
    <row r="280" spans="1:23">
      <c r="A280"/>
      <c r="B280" t="s">
        <v>57</v>
      </c>
      <c r="C280" t="s">
        <v>57</v>
      </c>
      <c r="D280" t="s">
        <v>37</v>
      </c>
      <c r="E280" t="s">
        <v>38</v>
      </c>
      <c r="F280" t="str">
        <f>"0000390"</f>
        <v>0000390</v>
      </c>
      <c r="G280">
        <v>1</v>
      </c>
      <c r="H280" t="str">
        <f>"00000000"</f>
        <v>00000000</v>
      </c>
      <c r="I280" t="s">
        <v>39</v>
      </c>
      <c r="J280"/>
      <c r="K280">
        <v>288.14</v>
      </c>
      <c r="L280">
        <v>0.0</v>
      </c>
      <c r="M280"/>
      <c r="N280"/>
      <c r="O280">
        <v>51.86</v>
      </c>
      <c r="P280">
        <v>0.0</v>
      </c>
      <c r="Q280">
        <v>340.0</v>
      </c>
      <c r="R280"/>
      <c r="S280"/>
      <c r="T280"/>
      <c r="U280"/>
      <c r="V280"/>
      <c r="W280">
        <v>18</v>
      </c>
    </row>
    <row r="281" spans="1:23">
      <c r="A281"/>
      <c r="B281" t="s">
        <v>57</v>
      </c>
      <c r="C281" t="s">
        <v>57</v>
      </c>
      <c r="D281" t="s">
        <v>37</v>
      </c>
      <c r="E281" t="s">
        <v>38</v>
      </c>
      <c r="F281" t="str">
        <f>"0000391"</f>
        <v>0000391</v>
      </c>
      <c r="G281">
        <v>1</v>
      </c>
      <c r="H281" t="str">
        <f>"00000000"</f>
        <v>00000000</v>
      </c>
      <c r="I281" t="s">
        <v>39</v>
      </c>
      <c r="J281"/>
      <c r="K281">
        <v>355.93</v>
      </c>
      <c r="L281">
        <v>0.0</v>
      </c>
      <c r="M281"/>
      <c r="N281"/>
      <c r="O281">
        <v>64.07</v>
      </c>
      <c r="P281">
        <v>0.0</v>
      </c>
      <c r="Q281">
        <v>420.0</v>
      </c>
      <c r="R281"/>
      <c r="S281"/>
      <c r="T281"/>
      <c r="U281"/>
      <c r="V281"/>
      <c r="W281">
        <v>18</v>
      </c>
    </row>
    <row r="282" spans="1:23">
      <c r="A282"/>
      <c r="B282" t="s">
        <v>57</v>
      </c>
      <c r="C282" t="s">
        <v>57</v>
      </c>
      <c r="D282" t="s">
        <v>37</v>
      </c>
      <c r="E282" t="s">
        <v>38</v>
      </c>
      <c r="F282" t="str">
        <f>"0000392"</f>
        <v>0000392</v>
      </c>
      <c r="G282">
        <v>1</v>
      </c>
      <c r="H282" t="str">
        <f>"00000000"</f>
        <v>00000000</v>
      </c>
      <c r="I282" t="s">
        <v>39</v>
      </c>
      <c r="J282"/>
      <c r="K282">
        <v>127.12</v>
      </c>
      <c r="L282">
        <v>0.0</v>
      </c>
      <c r="M282"/>
      <c r="N282"/>
      <c r="O282">
        <v>22.88</v>
      </c>
      <c r="P282">
        <v>0.0</v>
      </c>
      <c r="Q282">
        <v>150.0</v>
      </c>
      <c r="R282"/>
      <c r="S282"/>
      <c r="T282"/>
      <c r="U282"/>
      <c r="V282"/>
      <c r="W282">
        <v>18</v>
      </c>
    </row>
    <row r="283" spans="1:23">
      <c r="A283"/>
      <c r="B283" t="s">
        <v>57</v>
      </c>
      <c r="C283" t="s">
        <v>57</v>
      </c>
      <c r="D283" t="s">
        <v>37</v>
      </c>
      <c r="E283" t="s">
        <v>38</v>
      </c>
      <c r="F283" t="str">
        <f>"0000393"</f>
        <v>0000393</v>
      </c>
      <c r="G283">
        <v>1</v>
      </c>
      <c r="H283" t="str">
        <f>"00000000"</f>
        <v>00000000</v>
      </c>
      <c r="I283" t="s">
        <v>39</v>
      </c>
      <c r="J283"/>
      <c r="K283">
        <v>313.56</v>
      </c>
      <c r="L283">
        <v>0.0</v>
      </c>
      <c r="M283"/>
      <c r="N283"/>
      <c r="O283">
        <v>56.44</v>
      </c>
      <c r="P283">
        <v>0.0</v>
      </c>
      <c r="Q283">
        <v>370.0</v>
      </c>
      <c r="R283"/>
      <c r="S283"/>
      <c r="T283"/>
      <c r="U283"/>
      <c r="V283"/>
      <c r="W283">
        <v>18</v>
      </c>
    </row>
    <row r="284" spans="1:23">
      <c r="A284"/>
      <c r="B284" t="s">
        <v>57</v>
      </c>
      <c r="C284" t="s">
        <v>57</v>
      </c>
      <c r="D284" t="s">
        <v>37</v>
      </c>
      <c r="E284" t="s">
        <v>38</v>
      </c>
      <c r="F284" t="str">
        <f>"0000394"</f>
        <v>0000394</v>
      </c>
      <c r="G284">
        <v>1</v>
      </c>
      <c r="H284" t="str">
        <f>"00000000"</f>
        <v>00000000</v>
      </c>
      <c r="I284" t="s">
        <v>39</v>
      </c>
      <c r="J284"/>
      <c r="K284">
        <v>271.19</v>
      </c>
      <c r="L284">
        <v>0.0</v>
      </c>
      <c r="M284"/>
      <c r="N284"/>
      <c r="O284">
        <v>48.81</v>
      </c>
      <c r="P284">
        <v>0.0</v>
      </c>
      <c r="Q284">
        <v>320.0</v>
      </c>
      <c r="R284"/>
      <c r="S284"/>
      <c r="T284"/>
      <c r="U284"/>
      <c r="V284"/>
      <c r="W284">
        <v>18</v>
      </c>
    </row>
    <row r="285" spans="1:23">
      <c r="A285"/>
      <c r="B285" t="s">
        <v>57</v>
      </c>
      <c r="C285" t="s">
        <v>57</v>
      </c>
      <c r="D285" t="s">
        <v>37</v>
      </c>
      <c r="E285" t="s">
        <v>38</v>
      </c>
      <c r="F285" t="str">
        <f>"0000395"</f>
        <v>0000395</v>
      </c>
      <c r="G285">
        <v>1</v>
      </c>
      <c r="H285" t="str">
        <f>"00000000"</f>
        <v>00000000</v>
      </c>
      <c r="I285" t="s">
        <v>39</v>
      </c>
      <c r="J285"/>
      <c r="K285">
        <v>271.19</v>
      </c>
      <c r="L285">
        <v>0.0</v>
      </c>
      <c r="M285"/>
      <c r="N285"/>
      <c r="O285">
        <v>48.81</v>
      </c>
      <c r="P285">
        <v>0.0</v>
      </c>
      <c r="Q285">
        <v>320.0</v>
      </c>
      <c r="R285"/>
      <c r="S285"/>
      <c r="T285"/>
      <c r="U285"/>
      <c r="V285"/>
      <c r="W285">
        <v>18</v>
      </c>
    </row>
    <row r="286" spans="1:23">
      <c r="A286"/>
      <c r="B286" t="s">
        <v>57</v>
      </c>
      <c r="C286" t="s">
        <v>57</v>
      </c>
      <c r="D286" t="s">
        <v>37</v>
      </c>
      <c r="E286" t="s">
        <v>38</v>
      </c>
      <c r="F286" t="str">
        <f>"0000396"</f>
        <v>0000396</v>
      </c>
      <c r="G286">
        <v>1</v>
      </c>
      <c r="H286" t="str">
        <f>"00000000"</f>
        <v>00000000</v>
      </c>
      <c r="I286" t="s">
        <v>39</v>
      </c>
      <c r="J286"/>
      <c r="K286">
        <v>169.49</v>
      </c>
      <c r="L286">
        <v>0.0</v>
      </c>
      <c r="M286"/>
      <c r="N286"/>
      <c r="O286">
        <v>30.51</v>
      </c>
      <c r="P286">
        <v>0.0</v>
      </c>
      <c r="Q286">
        <v>200.0</v>
      </c>
      <c r="R286"/>
      <c r="S286"/>
      <c r="T286"/>
      <c r="U286"/>
      <c r="V286"/>
      <c r="W286">
        <v>18</v>
      </c>
    </row>
    <row r="287" spans="1:23">
      <c r="A287"/>
      <c r="B287" t="s">
        <v>57</v>
      </c>
      <c r="C287" t="s">
        <v>57</v>
      </c>
      <c r="D287" t="s">
        <v>37</v>
      </c>
      <c r="E287" t="s">
        <v>38</v>
      </c>
      <c r="F287" t="str">
        <f>"0000397"</f>
        <v>0000397</v>
      </c>
      <c r="G287">
        <v>1</v>
      </c>
      <c r="H287" t="str">
        <f>"00000000"</f>
        <v>00000000</v>
      </c>
      <c r="I287" t="s">
        <v>39</v>
      </c>
      <c r="J287"/>
      <c r="K287">
        <v>355.93</v>
      </c>
      <c r="L287">
        <v>0.0</v>
      </c>
      <c r="M287"/>
      <c r="N287"/>
      <c r="O287">
        <v>64.07</v>
      </c>
      <c r="P287">
        <v>0.0</v>
      </c>
      <c r="Q287">
        <v>420.0</v>
      </c>
      <c r="R287"/>
      <c r="S287"/>
      <c r="T287"/>
      <c r="U287"/>
      <c r="V287"/>
      <c r="W287">
        <v>18</v>
      </c>
    </row>
    <row r="288" spans="1:23">
      <c r="A288"/>
      <c r="B288" t="s">
        <v>57</v>
      </c>
      <c r="C288" t="s">
        <v>57</v>
      </c>
      <c r="D288" t="s">
        <v>37</v>
      </c>
      <c r="E288" t="s">
        <v>38</v>
      </c>
      <c r="F288" t="str">
        <f>"0000398"</f>
        <v>0000398</v>
      </c>
      <c r="G288">
        <v>1</v>
      </c>
      <c r="H288" t="str">
        <f>"00000000"</f>
        <v>00000000</v>
      </c>
      <c r="I288" t="s">
        <v>39</v>
      </c>
      <c r="J288"/>
      <c r="K288">
        <v>279.66</v>
      </c>
      <c r="L288">
        <v>0.0</v>
      </c>
      <c r="M288"/>
      <c r="N288"/>
      <c r="O288">
        <v>50.34</v>
      </c>
      <c r="P288">
        <v>0.0</v>
      </c>
      <c r="Q288">
        <v>330.0</v>
      </c>
      <c r="R288"/>
      <c r="S288"/>
      <c r="T288"/>
      <c r="U288"/>
      <c r="V288"/>
      <c r="W288">
        <v>18</v>
      </c>
    </row>
    <row r="289" spans="1:23">
      <c r="A289"/>
      <c r="B289" t="s">
        <v>57</v>
      </c>
      <c r="C289" t="s">
        <v>57</v>
      </c>
      <c r="D289" t="s">
        <v>37</v>
      </c>
      <c r="E289" t="s">
        <v>38</v>
      </c>
      <c r="F289" t="str">
        <f>"0000399"</f>
        <v>0000399</v>
      </c>
      <c r="G289">
        <v>1</v>
      </c>
      <c r="H289" t="str">
        <f>"00000000"</f>
        <v>00000000</v>
      </c>
      <c r="I289" t="s">
        <v>39</v>
      </c>
      <c r="J289"/>
      <c r="K289">
        <v>288.14</v>
      </c>
      <c r="L289">
        <v>0.0</v>
      </c>
      <c r="M289"/>
      <c r="N289"/>
      <c r="O289">
        <v>51.86</v>
      </c>
      <c r="P289">
        <v>0.0</v>
      </c>
      <c r="Q289">
        <v>340.0</v>
      </c>
      <c r="R289"/>
      <c r="S289"/>
      <c r="T289"/>
      <c r="U289"/>
      <c r="V289"/>
      <c r="W289">
        <v>18</v>
      </c>
    </row>
    <row r="290" spans="1:23">
      <c r="A290"/>
      <c r="B290" t="s">
        <v>57</v>
      </c>
      <c r="C290" t="s">
        <v>57</v>
      </c>
      <c r="D290" t="s">
        <v>37</v>
      </c>
      <c r="E290" t="s">
        <v>38</v>
      </c>
      <c r="F290" t="str">
        <f>"0000400"</f>
        <v>0000400</v>
      </c>
      <c r="G290">
        <v>1</v>
      </c>
      <c r="H290" t="str">
        <f>"00000000"</f>
        <v>00000000</v>
      </c>
      <c r="I290" t="s">
        <v>39</v>
      </c>
      <c r="J290"/>
      <c r="K290">
        <v>135.59</v>
      </c>
      <c r="L290">
        <v>0.0</v>
      </c>
      <c r="M290"/>
      <c r="N290"/>
      <c r="O290">
        <v>24.41</v>
      </c>
      <c r="P290">
        <v>0.0</v>
      </c>
      <c r="Q290">
        <v>160.0</v>
      </c>
      <c r="R290"/>
      <c r="S290"/>
      <c r="T290"/>
      <c r="U290"/>
      <c r="V290"/>
      <c r="W290">
        <v>18</v>
      </c>
    </row>
    <row r="291" spans="1:23">
      <c r="A291"/>
      <c r="B291" t="s">
        <v>57</v>
      </c>
      <c r="C291" t="s">
        <v>57</v>
      </c>
      <c r="D291" t="s">
        <v>37</v>
      </c>
      <c r="E291" t="s">
        <v>38</v>
      </c>
      <c r="F291" t="str">
        <f>"0000401"</f>
        <v>0000401</v>
      </c>
      <c r="G291">
        <v>1</v>
      </c>
      <c r="H291" t="str">
        <f>"00000000"</f>
        <v>00000000</v>
      </c>
      <c r="I291" t="s">
        <v>39</v>
      </c>
      <c r="J291"/>
      <c r="K291">
        <v>296.61</v>
      </c>
      <c r="L291">
        <v>0.0</v>
      </c>
      <c r="M291"/>
      <c r="N291"/>
      <c r="O291">
        <v>53.39</v>
      </c>
      <c r="P291">
        <v>0.0</v>
      </c>
      <c r="Q291">
        <v>350.0</v>
      </c>
      <c r="R291"/>
      <c r="S291"/>
      <c r="T291"/>
      <c r="U291"/>
      <c r="V291"/>
      <c r="W291">
        <v>18</v>
      </c>
    </row>
    <row r="292" spans="1:23">
      <c r="A292"/>
      <c r="B292" t="s">
        <v>58</v>
      </c>
      <c r="C292" t="s">
        <v>58</v>
      </c>
      <c r="D292" t="s">
        <v>37</v>
      </c>
      <c r="E292" t="s">
        <v>38</v>
      </c>
      <c r="F292" t="str">
        <f>"0000402"</f>
        <v>0000402</v>
      </c>
      <c r="G292">
        <v>1</v>
      </c>
      <c r="H292" t="str">
        <f>"00000000"</f>
        <v>00000000</v>
      </c>
      <c r="I292" t="s">
        <v>39</v>
      </c>
      <c r="J292"/>
      <c r="K292">
        <v>211.86</v>
      </c>
      <c r="L292">
        <v>0.0</v>
      </c>
      <c r="M292"/>
      <c r="N292"/>
      <c r="O292">
        <v>38.14</v>
      </c>
      <c r="P292">
        <v>0.0</v>
      </c>
      <c r="Q292">
        <v>250.0</v>
      </c>
      <c r="R292"/>
      <c r="S292"/>
      <c r="T292"/>
      <c r="U292"/>
      <c r="V292"/>
      <c r="W292">
        <v>18</v>
      </c>
    </row>
    <row r="293" spans="1:23">
      <c r="A293"/>
      <c r="B293" t="s">
        <v>58</v>
      </c>
      <c r="C293" t="s">
        <v>58</v>
      </c>
      <c r="D293" t="s">
        <v>37</v>
      </c>
      <c r="E293" t="s">
        <v>38</v>
      </c>
      <c r="F293" t="str">
        <f>"0000403"</f>
        <v>0000403</v>
      </c>
      <c r="G293">
        <v>1</v>
      </c>
      <c r="H293" t="str">
        <f>"00000000"</f>
        <v>00000000</v>
      </c>
      <c r="I293" t="s">
        <v>39</v>
      </c>
      <c r="J293"/>
      <c r="K293">
        <v>254.24</v>
      </c>
      <c r="L293">
        <v>0.0</v>
      </c>
      <c r="M293"/>
      <c r="N293"/>
      <c r="O293">
        <v>45.76</v>
      </c>
      <c r="P293">
        <v>0.0</v>
      </c>
      <c r="Q293">
        <v>300.0</v>
      </c>
      <c r="R293"/>
      <c r="S293"/>
      <c r="T293"/>
      <c r="U293"/>
      <c r="V293"/>
      <c r="W293">
        <v>18</v>
      </c>
    </row>
    <row r="294" spans="1:23">
      <c r="A294"/>
      <c r="B294" t="s">
        <v>58</v>
      </c>
      <c r="C294" t="s">
        <v>58</v>
      </c>
      <c r="D294" t="s">
        <v>37</v>
      </c>
      <c r="E294" t="s">
        <v>38</v>
      </c>
      <c r="F294" t="str">
        <f>"0000404"</f>
        <v>0000404</v>
      </c>
      <c r="G294">
        <v>1</v>
      </c>
      <c r="H294" t="str">
        <f>"00000000"</f>
        <v>00000000</v>
      </c>
      <c r="I294" t="s">
        <v>39</v>
      </c>
      <c r="J294"/>
      <c r="K294">
        <v>338.98</v>
      </c>
      <c r="L294">
        <v>0.0</v>
      </c>
      <c r="M294"/>
      <c r="N294"/>
      <c r="O294">
        <v>61.02</v>
      </c>
      <c r="P294">
        <v>0.0</v>
      </c>
      <c r="Q294">
        <v>400.0</v>
      </c>
      <c r="R294"/>
      <c r="S294"/>
      <c r="T294"/>
      <c r="U294"/>
      <c r="V294"/>
      <c r="W294">
        <v>18</v>
      </c>
    </row>
    <row r="295" spans="1:23">
      <c r="A295"/>
      <c r="B295" t="s">
        <v>58</v>
      </c>
      <c r="C295" t="s">
        <v>58</v>
      </c>
      <c r="D295" t="s">
        <v>37</v>
      </c>
      <c r="E295" t="s">
        <v>38</v>
      </c>
      <c r="F295" t="str">
        <f>"0000405"</f>
        <v>0000405</v>
      </c>
      <c r="G295">
        <v>1</v>
      </c>
      <c r="H295" t="str">
        <f>"00000000"</f>
        <v>00000000</v>
      </c>
      <c r="I295" t="s">
        <v>39</v>
      </c>
      <c r="J295"/>
      <c r="K295">
        <v>406.78</v>
      </c>
      <c r="L295">
        <v>0.0</v>
      </c>
      <c r="M295"/>
      <c r="N295"/>
      <c r="O295">
        <v>73.22</v>
      </c>
      <c r="P295">
        <v>0.0</v>
      </c>
      <c r="Q295">
        <v>480.0</v>
      </c>
      <c r="R295"/>
      <c r="S295"/>
      <c r="T295"/>
      <c r="U295"/>
      <c r="V295"/>
      <c r="W295">
        <v>18</v>
      </c>
    </row>
    <row r="296" spans="1:23">
      <c r="A296"/>
      <c r="B296" t="s">
        <v>58</v>
      </c>
      <c r="C296" t="s">
        <v>58</v>
      </c>
      <c r="D296" t="s">
        <v>37</v>
      </c>
      <c r="E296" t="s">
        <v>38</v>
      </c>
      <c r="F296" t="str">
        <f>"0000406"</f>
        <v>0000406</v>
      </c>
      <c r="G296">
        <v>1</v>
      </c>
      <c r="H296" t="str">
        <f>"00000000"</f>
        <v>00000000</v>
      </c>
      <c r="I296" t="s">
        <v>39</v>
      </c>
      <c r="J296"/>
      <c r="K296">
        <v>355.93</v>
      </c>
      <c r="L296">
        <v>0.0</v>
      </c>
      <c r="M296"/>
      <c r="N296"/>
      <c r="O296">
        <v>64.07</v>
      </c>
      <c r="P296">
        <v>0.0</v>
      </c>
      <c r="Q296">
        <v>420.0</v>
      </c>
      <c r="R296"/>
      <c r="S296"/>
      <c r="T296"/>
      <c r="U296"/>
      <c r="V296"/>
      <c r="W296">
        <v>18</v>
      </c>
    </row>
    <row r="297" spans="1:23">
      <c r="A297"/>
      <c r="B297" t="s">
        <v>58</v>
      </c>
      <c r="C297" t="s">
        <v>58</v>
      </c>
      <c r="D297" t="s">
        <v>37</v>
      </c>
      <c r="E297" t="s">
        <v>38</v>
      </c>
      <c r="F297" t="str">
        <f>"0000407"</f>
        <v>0000407</v>
      </c>
      <c r="G297">
        <v>1</v>
      </c>
      <c r="H297" t="str">
        <f>"00000000"</f>
        <v>00000000</v>
      </c>
      <c r="I297" t="s">
        <v>39</v>
      </c>
      <c r="J297"/>
      <c r="K297">
        <v>271.19</v>
      </c>
      <c r="L297">
        <v>0.0</v>
      </c>
      <c r="M297"/>
      <c r="N297"/>
      <c r="O297">
        <v>48.81</v>
      </c>
      <c r="P297">
        <v>0.0</v>
      </c>
      <c r="Q297">
        <v>320.0</v>
      </c>
      <c r="R297"/>
      <c r="S297"/>
      <c r="T297"/>
      <c r="U297"/>
      <c r="V297"/>
      <c r="W297">
        <v>18</v>
      </c>
    </row>
    <row r="298" spans="1:23">
      <c r="A298"/>
      <c r="B298" t="s">
        <v>58</v>
      </c>
      <c r="C298" t="s">
        <v>58</v>
      </c>
      <c r="D298" t="s">
        <v>37</v>
      </c>
      <c r="E298" t="s">
        <v>38</v>
      </c>
      <c r="F298" t="str">
        <f>"0000408"</f>
        <v>0000408</v>
      </c>
      <c r="G298">
        <v>1</v>
      </c>
      <c r="H298" t="str">
        <f>"00000000"</f>
        <v>00000000</v>
      </c>
      <c r="I298" t="s">
        <v>39</v>
      </c>
      <c r="J298"/>
      <c r="K298">
        <v>372.88</v>
      </c>
      <c r="L298">
        <v>0.0</v>
      </c>
      <c r="M298"/>
      <c r="N298"/>
      <c r="O298">
        <v>67.12</v>
      </c>
      <c r="P298">
        <v>0.0</v>
      </c>
      <c r="Q298">
        <v>440.0</v>
      </c>
      <c r="R298"/>
      <c r="S298"/>
      <c r="T298"/>
      <c r="U298"/>
      <c r="V298"/>
      <c r="W298">
        <v>18</v>
      </c>
    </row>
    <row r="299" spans="1:23">
      <c r="A299"/>
      <c r="B299" t="s">
        <v>58</v>
      </c>
      <c r="C299" t="s">
        <v>58</v>
      </c>
      <c r="D299" t="s">
        <v>37</v>
      </c>
      <c r="E299" t="s">
        <v>38</v>
      </c>
      <c r="F299" t="str">
        <f>"0000409"</f>
        <v>0000409</v>
      </c>
      <c r="G299">
        <v>1</v>
      </c>
      <c r="H299" t="str">
        <f>"00000000"</f>
        <v>00000000</v>
      </c>
      <c r="I299" t="s">
        <v>39</v>
      </c>
      <c r="J299"/>
      <c r="K299">
        <v>355.93</v>
      </c>
      <c r="L299">
        <v>0.0</v>
      </c>
      <c r="M299"/>
      <c r="N299"/>
      <c r="O299">
        <v>64.07</v>
      </c>
      <c r="P299">
        <v>0.0</v>
      </c>
      <c r="Q299">
        <v>420.0</v>
      </c>
      <c r="R299"/>
      <c r="S299"/>
      <c r="T299"/>
      <c r="U299"/>
      <c r="V299"/>
      <c r="W299">
        <v>18</v>
      </c>
    </row>
    <row r="300" spans="1:23">
      <c r="A300"/>
      <c r="B300" t="s">
        <v>58</v>
      </c>
      <c r="C300" t="s">
        <v>58</v>
      </c>
      <c r="D300" t="s">
        <v>37</v>
      </c>
      <c r="E300" t="s">
        <v>38</v>
      </c>
      <c r="F300" t="str">
        <f>"0000410"</f>
        <v>0000410</v>
      </c>
      <c r="G300">
        <v>1</v>
      </c>
      <c r="H300" t="str">
        <f>"00000000"</f>
        <v>00000000</v>
      </c>
      <c r="I300" t="s">
        <v>39</v>
      </c>
      <c r="J300"/>
      <c r="K300">
        <v>355.93</v>
      </c>
      <c r="L300">
        <v>0.0</v>
      </c>
      <c r="M300"/>
      <c r="N300"/>
      <c r="O300">
        <v>64.07</v>
      </c>
      <c r="P300">
        <v>0.0</v>
      </c>
      <c r="Q300">
        <v>420.0</v>
      </c>
      <c r="R300"/>
      <c r="S300"/>
      <c r="T300"/>
      <c r="U300"/>
      <c r="V300"/>
      <c r="W300">
        <v>18</v>
      </c>
    </row>
    <row r="301" spans="1:23">
      <c r="A301"/>
      <c r="B301" t="s">
        <v>58</v>
      </c>
      <c r="C301" t="s">
        <v>58</v>
      </c>
      <c r="D301" t="s">
        <v>37</v>
      </c>
      <c r="E301" t="s">
        <v>38</v>
      </c>
      <c r="F301" t="str">
        <f>"0000411"</f>
        <v>0000411</v>
      </c>
      <c r="G301">
        <v>1</v>
      </c>
      <c r="H301" t="str">
        <f>"00000000"</f>
        <v>00000000</v>
      </c>
      <c r="I301" t="s">
        <v>39</v>
      </c>
      <c r="J301"/>
      <c r="K301">
        <v>296.61</v>
      </c>
      <c r="L301">
        <v>0.0</v>
      </c>
      <c r="M301"/>
      <c r="N301"/>
      <c r="O301">
        <v>53.39</v>
      </c>
      <c r="P301">
        <v>0.0</v>
      </c>
      <c r="Q301">
        <v>350.0</v>
      </c>
      <c r="R301"/>
      <c r="S301"/>
      <c r="T301"/>
      <c r="U301"/>
      <c r="V301"/>
      <c r="W301">
        <v>18</v>
      </c>
    </row>
    <row r="302" spans="1:23">
      <c r="A302"/>
      <c r="B302" t="s">
        <v>58</v>
      </c>
      <c r="C302" t="s">
        <v>58</v>
      </c>
      <c r="D302" t="s">
        <v>37</v>
      </c>
      <c r="E302" t="s">
        <v>38</v>
      </c>
      <c r="F302" t="str">
        <f>"0000412"</f>
        <v>0000412</v>
      </c>
      <c r="G302">
        <v>1</v>
      </c>
      <c r="H302" t="str">
        <f>"00000000"</f>
        <v>00000000</v>
      </c>
      <c r="I302" t="s">
        <v>39</v>
      </c>
      <c r="J302"/>
      <c r="K302">
        <v>275.42</v>
      </c>
      <c r="L302">
        <v>0.0</v>
      </c>
      <c r="M302"/>
      <c r="N302"/>
      <c r="O302">
        <v>49.58</v>
      </c>
      <c r="P302">
        <v>0.0</v>
      </c>
      <c r="Q302">
        <v>325.0</v>
      </c>
      <c r="R302"/>
      <c r="S302"/>
      <c r="T302"/>
      <c r="U302"/>
      <c r="V302"/>
      <c r="W302">
        <v>18</v>
      </c>
    </row>
    <row r="303" spans="1:23">
      <c r="A303"/>
      <c r="B303" t="s">
        <v>58</v>
      </c>
      <c r="C303" t="s">
        <v>58</v>
      </c>
      <c r="D303" t="s">
        <v>37</v>
      </c>
      <c r="E303" t="s">
        <v>38</v>
      </c>
      <c r="F303" t="str">
        <f>"0000413"</f>
        <v>0000413</v>
      </c>
      <c r="G303">
        <v>1</v>
      </c>
      <c r="H303" t="str">
        <f>"00000000"</f>
        <v>00000000</v>
      </c>
      <c r="I303" t="s">
        <v>39</v>
      </c>
      <c r="J303"/>
      <c r="K303">
        <v>296.61</v>
      </c>
      <c r="L303">
        <v>0.0</v>
      </c>
      <c r="M303"/>
      <c r="N303"/>
      <c r="O303">
        <v>53.39</v>
      </c>
      <c r="P303">
        <v>0.0</v>
      </c>
      <c r="Q303">
        <v>350.0</v>
      </c>
      <c r="R303"/>
      <c r="S303"/>
      <c r="T303"/>
      <c r="U303"/>
      <c r="V303"/>
      <c r="W303">
        <v>18</v>
      </c>
    </row>
    <row r="304" spans="1:23">
      <c r="A304"/>
      <c r="B304" t="s">
        <v>58</v>
      </c>
      <c r="C304" t="s">
        <v>58</v>
      </c>
      <c r="D304" t="s">
        <v>37</v>
      </c>
      <c r="E304" t="s">
        <v>38</v>
      </c>
      <c r="F304" t="str">
        <f>"0000414"</f>
        <v>0000414</v>
      </c>
      <c r="G304">
        <v>1</v>
      </c>
      <c r="H304" t="str">
        <f>"00000000"</f>
        <v>00000000</v>
      </c>
      <c r="I304" t="s">
        <v>39</v>
      </c>
      <c r="J304"/>
      <c r="K304">
        <v>296.61</v>
      </c>
      <c r="L304">
        <v>0.0</v>
      </c>
      <c r="M304"/>
      <c r="N304"/>
      <c r="O304">
        <v>53.39</v>
      </c>
      <c r="P304">
        <v>0.0</v>
      </c>
      <c r="Q304">
        <v>350.0</v>
      </c>
      <c r="R304"/>
      <c r="S304"/>
      <c r="T304"/>
      <c r="U304"/>
      <c r="V304"/>
      <c r="W304">
        <v>18</v>
      </c>
    </row>
    <row r="305" spans="1:23">
      <c r="A305"/>
      <c r="B305" t="s">
        <v>58</v>
      </c>
      <c r="C305" t="s">
        <v>58</v>
      </c>
      <c r="D305" t="s">
        <v>37</v>
      </c>
      <c r="E305" t="s">
        <v>38</v>
      </c>
      <c r="F305" t="str">
        <f>"0000415"</f>
        <v>0000415</v>
      </c>
      <c r="G305">
        <v>1</v>
      </c>
      <c r="H305" t="str">
        <f>"00000000"</f>
        <v>00000000</v>
      </c>
      <c r="I305" t="s">
        <v>39</v>
      </c>
      <c r="J305"/>
      <c r="K305">
        <v>177.97</v>
      </c>
      <c r="L305">
        <v>0.0</v>
      </c>
      <c r="M305"/>
      <c r="N305"/>
      <c r="O305">
        <v>32.03</v>
      </c>
      <c r="P305">
        <v>0.0</v>
      </c>
      <c r="Q305">
        <v>210.0</v>
      </c>
      <c r="R305"/>
      <c r="S305"/>
      <c r="T305"/>
      <c r="U305"/>
      <c r="V305"/>
      <c r="W305">
        <v>18</v>
      </c>
    </row>
    <row r="306" spans="1:23">
      <c r="A306"/>
      <c r="B306" t="s">
        <v>58</v>
      </c>
      <c r="C306" t="s">
        <v>58</v>
      </c>
      <c r="D306" t="s">
        <v>37</v>
      </c>
      <c r="E306" t="s">
        <v>38</v>
      </c>
      <c r="F306" t="str">
        <f>"0000416"</f>
        <v>0000416</v>
      </c>
      <c r="G306">
        <v>1</v>
      </c>
      <c r="H306" t="str">
        <f>"00000000"</f>
        <v>00000000</v>
      </c>
      <c r="I306" t="s">
        <v>39</v>
      </c>
      <c r="J306"/>
      <c r="K306">
        <v>271.19</v>
      </c>
      <c r="L306">
        <v>0.0</v>
      </c>
      <c r="M306"/>
      <c r="N306"/>
      <c r="O306">
        <v>48.81</v>
      </c>
      <c r="P306">
        <v>0.0</v>
      </c>
      <c r="Q306">
        <v>320.0</v>
      </c>
      <c r="R306"/>
      <c r="S306"/>
      <c r="T306"/>
      <c r="U306"/>
      <c r="V306"/>
      <c r="W306">
        <v>18</v>
      </c>
    </row>
    <row r="307" spans="1:23">
      <c r="A307"/>
      <c r="B307" t="s">
        <v>58</v>
      </c>
      <c r="C307" t="s">
        <v>58</v>
      </c>
      <c r="D307" t="s">
        <v>37</v>
      </c>
      <c r="E307" t="s">
        <v>38</v>
      </c>
      <c r="F307" t="str">
        <f>"0000417"</f>
        <v>0000417</v>
      </c>
      <c r="G307">
        <v>1</v>
      </c>
      <c r="H307" t="str">
        <f>"00000000"</f>
        <v>00000000</v>
      </c>
      <c r="I307" t="s">
        <v>39</v>
      </c>
      <c r="J307"/>
      <c r="K307">
        <v>237.29</v>
      </c>
      <c r="L307">
        <v>0.0</v>
      </c>
      <c r="M307"/>
      <c r="N307"/>
      <c r="O307">
        <v>42.71</v>
      </c>
      <c r="P307">
        <v>0.0</v>
      </c>
      <c r="Q307">
        <v>280.0</v>
      </c>
      <c r="R307"/>
      <c r="S307"/>
      <c r="T307"/>
      <c r="U307"/>
      <c r="V307"/>
      <c r="W307">
        <v>18</v>
      </c>
    </row>
    <row r="308" spans="1:23">
      <c r="A308"/>
      <c r="B308" t="s">
        <v>58</v>
      </c>
      <c r="C308" t="s">
        <v>58</v>
      </c>
      <c r="D308" t="s">
        <v>37</v>
      </c>
      <c r="E308" t="s">
        <v>38</v>
      </c>
      <c r="F308" t="str">
        <f>"0000418"</f>
        <v>0000418</v>
      </c>
      <c r="G308">
        <v>1</v>
      </c>
      <c r="H308" t="str">
        <f>"00000000"</f>
        <v>00000000</v>
      </c>
      <c r="I308" t="s">
        <v>39</v>
      </c>
      <c r="J308"/>
      <c r="K308">
        <v>330.51</v>
      </c>
      <c r="L308">
        <v>0.0</v>
      </c>
      <c r="M308"/>
      <c r="N308"/>
      <c r="O308">
        <v>59.49</v>
      </c>
      <c r="P308">
        <v>0.0</v>
      </c>
      <c r="Q308">
        <v>390.0</v>
      </c>
      <c r="R308"/>
      <c r="S308"/>
      <c r="T308"/>
      <c r="U308"/>
      <c r="V308"/>
      <c r="W308">
        <v>18</v>
      </c>
    </row>
    <row r="309" spans="1:23">
      <c r="A309"/>
      <c r="B309" t="s">
        <v>58</v>
      </c>
      <c r="C309" t="s">
        <v>58</v>
      </c>
      <c r="D309" t="s">
        <v>37</v>
      </c>
      <c r="E309" t="s">
        <v>38</v>
      </c>
      <c r="F309" t="str">
        <f>"0000419"</f>
        <v>0000419</v>
      </c>
      <c r="G309">
        <v>1</v>
      </c>
      <c r="H309" t="str">
        <f>"00000000"</f>
        <v>00000000</v>
      </c>
      <c r="I309" t="s">
        <v>39</v>
      </c>
      <c r="J309"/>
      <c r="K309">
        <v>338.98</v>
      </c>
      <c r="L309">
        <v>0.0</v>
      </c>
      <c r="M309"/>
      <c r="N309"/>
      <c r="O309">
        <v>61.02</v>
      </c>
      <c r="P309">
        <v>0.0</v>
      </c>
      <c r="Q309">
        <v>400.0</v>
      </c>
      <c r="R309"/>
      <c r="S309"/>
      <c r="T309"/>
      <c r="U309"/>
      <c r="V309"/>
      <c r="W309">
        <v>18</v>
      </c>
    </row>
    <row r="310" spans="1:23">
      <c r="A310"/>
      <c r="B310" t="s">
        <v>58</v>
      </c>
      <c r="C310" t="s">
        <v>58</v>
      </c>
      <c r="D310" t="s">
        <v>37</v>
      </c>
      <c r="E310" t="s">
        <v>38</v>
      </c>
      <c r="F310" t="str">
        <f>"0000420"</f>
        <v>0000420</v>
      </c>
      <c r="G310">
        <v>1</v>
      </c>
      <c r="H310" t="str">
        <f>"00000000"</f>
        <v>00000000</v>
      </c>
      <c r="I310" t="s">
        <v>39</v>
      </c>
      <c r="J310"/>
      <c r="K310">
        <v>220.34</v>
      </c>
      <c r="L310">
        <v>0.0</v>
      </c>
      <c r="M310"/>
      <c r="N310"/>
      <c r="O310">
        <v>39.66</v>
      </c>
      <c r="P310">
        <v>0.0</v>
      </c>
      <c r="Q310">
        <v>260.0</v>
      </c>
      <c r="R310"/>
      <c r="S310"/>
      <c r="T310"/>
      <c r="U310"/>
      <c r="V310"/>
      <c r="W310">
        <v>18</v>
      </c>
    </row>
    <row r="311" spans="1:23">
      <c r="A311"/>
      <c r="B311" t="s">
        <v>58</v>
      </c>
      <c r="C311" t="s">
        <v>58</v>
      </c>
      <c r="D311" t="s">
        <v>37</v>
      </c>
      <c r="E311" t="s">
        <v>38</v>
      </c>
      <c r="F311" t="str">
        <f>"0000421"</f>
        <v>0000421</v>
      </c>
      <c r="G311">
        <v>1</v>
      </c>
      <c r="H311" t="str">
        <f>"00000000"</f>
        <v>00000000</v>
      </c>
      <c r="I311" t="s">
        <v>39</v>
      </c>
      <c r="J311"/>
      <c r="K311">
        <v>93.22</v>
      </c>
      <c r="L311">
        <v>0.0</v>
      </c>
      <c r="M311"/>
      <c r="N311"/>
      <c r="O311">
        <v>16.78</v>
      </c>
      <c r="P311">
        <v>0.0</v>
      </c>
      <c r="Q311">
        <v>110.0</v>
      </c>
      <c r="R311"/>
      <c r="S311"/>
      <c r="T311"/>
      <c r="U311"/>
      <c r="V311"/>
      <c r="W311">
        <v>18</v>
      </c>
    </row>
    <row r="312" spans="1:23">
      <c r="A312"/>
      <c r="B312" t="s">
        <v>58</v>
      </c>
      <c r="C312" t="s">
        <v>58</v>
      </c>
      <c r="D312" t="s">
        <v>37</v>
      </c>
      <c r="E312" t="s">
        <v>38</v>
      </c>
      <c r="F312" t="str">
        <f>"0000422"</f>
        <v>0000422</v>
      </c>
      <c r="G312">
        <v>1</v>
      </c>
      <c r="H312" t="str">
        <f>"00000000"</f>
        <v>00000000</v>
      </c>
      <c r="I312" t="s">
        <v>39</v>
      </c>
      <c r="J312"/>
      <c r="K312">
        <v>169.49</v>
      </c>
      <c r="L312">
        <v>0.0</v>
      </c>
      <c r="M312"/>
      <c r="N312"/>
      <c r="O312">
        <v>30.51</v>
      </c>
      <c r="P312">
        <v>0.0</v>
      </c>
      <c r="Q312">
        <v>200.0</v>
      </c>
      <c r="R312"/>
      <c r="S312"/>
      <c r="T312"/>
      <c r="U312"/>
      <c r="V312"/>
      <c r="W312">
        <v>18</v>
      </c>
    </row>
    <row r="313" spans="1:23">
      <c r="A313"/>
      <c r="B313" t="s">
        <v>58</v>
      </c>
      <c r="C313" t="s">
        <v>58</v>
      </c>
      <c r="D313" t="s">
        <v>37</v>
      </c>
      <c r="E313" t="s">
        <v>38</v>
      </c>
      <c r="F313" t="str">
        <f>"0000423"</f>
        <v>0000423</v>
      </c>
      <c r="G313">
        <v>1</v>
      </c>
      <c r="H313" t="str">
        <f>"00000000"</f>
        <v>00000000</v>
      </c>
      <c r="I313" t="s">
        <v>39</v>
      </c>
      <c r="J313"/>
      <c r="K313">
        <v>169.49</v>
      </c>
      <c r="L313">
        <v>0.0</v>
      </c>
      <c r="M313"/>
      <c r="N313"/>
      <c r="O313">
        <v>30.51</v>
      </c>
      <c r="P313">
        <v>0.0</v>
      </c>
      <c r="Q313">
        <v>200.0</v>
      </c>
      <c r="R313"/>
      <c r="S313"/>
      <c r="T313"/>
      <c r="U313"/>
      <c r="V313"/>
      <c r="W313">
        <v>18</v>
      </c>
    </row>
    <row r="314" spans="1:23">
      <c r="A314"/>
      <c r="B314" t="s">
        <v>58</v>
      </c>
      <c r="C314" t="s">
        <v>58</v>
      </c>
      <c r="D314" t="s">
        <v>37</v>
      </c>
      <c r="E314" t="s">
        <v>38</v>
      </c>
      <c r="F314" t="str">
        <f>"0000424"</f>
        <v>0000424</v>
      </c>
      <c r="G314">
        <v>1</v>
      </c>
      <c r="H314" t="str">
        <f>"00000000"</f>
        <v>00000000</v>
      </c>
      <c r="I314" t="s">
        <v>39</v>
      </c>
      <c r="J314"/>
      <c r="K314">
        <v>169.49</v>
      </c>
      <c r="L314">
        <v>0.0</v>
      </c>
      <c r="M314"/>
      <c r="N314"/>
      <c r="O314">
        <v>30.51</v>
      </c>
      <c r="P314">
        <v>0.0</v>
      </c>
      <c r="Q314">
        <v>200.0</v>
      </c>
      <c r="R314"/>
      <c r="S314"/>
      <c r="T314"/>
      <c r="U314"/>
      <c r="V314"/>
      <c r="W314">
        <v>18</v>
      </c>
    </row>
    <row r="315" spans="1:23">
      <c r="A315"/>
      <c r="B315" t="s">
        <v>58</v>
      </c>
      <c r="C315" t="s">
        <v>58</v>
      </c>
      <c r="D315" t="s">
        <v>37</v>
      </c>
      <c r="E315" t="s">
        <v>38</v>
      </c>
      <c r="F315" t="str">
        <f>"0000425"</f>
        <v>0000425</v>
      </c>
      <c r="G315">
        <v>1</v>
      </c>
      <c r="H315" t="str">
        <f>"00000000"</f>
        <v>00000000</v>
      </c>
      <c r="I315" t="s">
        <v>39</v>
      </c>
      <c r="J315"/>
      <c r="K315">
        <v>254.24</v>
      </c>
      <c r="L315">
        <v>0.0</v>
      </c>
      <c r="M315"/>
      <c r="N315"/>
      <c r="O315">
        <v>45.76</v>
      </c>
      <c r="P315">
        <v>0.0</v>
      </c>
      <c r="Q315">
        <v>300.0</v>
      </c>
      <c r="R315"/>
      <c r="S315"/>
      <c r="T315"/>
      <c r="U315"/>
      <c r="V315"/>
      <c r="W315">
        <v>18</v>
      </c>
    </row>
    <row r="316" spans="1:23">
      <c r="A316"/>
      <c r="B316" t="s">
        <v>58</v>
      </c>
      <c r="C316" t="s">
        <v>58</v>
      </c>
      <c r="D316" t="s">
        <v>37</v>
      </c>
      <c r="E316" t="s">
        <v>38</v>
      </c>
      <c r="F316" t="str">
        <f>"0000426"</f>
        <v>0000426</v>
      </c>
      <c r="G316">
        <v>1</v>
      </c>
      <c r="H316" t="str">
        <f>"00000000"</f>
        <v>00000000</v>
      </c>
      <c r="I316" t="s">
        <v>39</v>
      </c>
      <c r="J316"/>
      <c r="K316">
        <v>275.42</v>
      </c>
      <c r="L316">
        <v>0.0</v>
      </c>
      <c r="M316"/>
      <c r="N316"/>
      <c r="O316">
        <v>49.58</v>
      </c>
      <c r="P316">
        <v>0.0</v>
      </c>
      <c r="Q316">
        <v>325.0</v>
      </c>
      <c r="R316"/>
      <c r="S316"/>
      <c r="T316"/>
      <c r="U316"/>
      <c r="V316"/>
      <c r="W316">
        <v>18</v>
      </c>
    </row>
    <row r="317" spans="1:23">
      <c r="A317"/>
      <c r="B317" t="s">
        <v>58</v>
      </c>
      <c r="C317" t="s">
        <v>58</v>
      </c>
      <c r="D317" t="s">
        <v>37</v>
      </c>
      <c r="E317" t="s">
        <v>38</v>
      </c>
      <c r="F317" t="str">
        <f>"0000427"</f>
        <v>0000427</v>
      </c>
      <c r="G317">
        <v>1</v>
      </c>
      <c r="H317" t="str">
        <f>"00000000"</f>
        <v>00000000</v>
      </c>
      <c r="I317" t="s">
        <v>39</v>
      </c>
      <c r="J317"/>
      <c r="K317">
        <v>338.98</v>
      </c>
      <c r="L317">
        <v>0.0</v>
      </c>
      <c r="M317"/>
      <c r="N317"/>
      <c r="O317">
        <v>61.02</v>
      </c>
      <c r="P317">
        <v>0.0</v>
      </c>
      <c r="Q317">
        <v>400.0</v>
      </c>
      <c r="R317"/>
      <c r="S317"/>
      <c r="T317"/>
      <c r="U317"/>
      <c r="V317"/>
      <c r="W317">
        <v>18</v>
      </c>
    </row>
    <row r="318" spans="1:23">
      <c r="A318"/>
      <c r="B318" t="s">
        <v>58</v>
      </c>
      <c r="C318" t="s">
        <v>58</v>
      </c>
      <c r="D318" t="s">
        <v>37</v>
      </c>
      <c r="E318" t="s">
        <v>38</v>
      </c>
      <c r="F318" t="str">
        <f>"0000428"</f>
        <v>0000428</v>
      </c>
      <c r="G318">
        <v>1</v>
      </c>
      <c r="H318" t="str">
        <f>"00000000"</f>
        <v>00000000</v>
      </c>
      <c r="I318" t="s">
        <v>39</v>
      </c>
      <c r="J318"/>
      <c r="K318">
        <v>169.49</v>
      </c>
      <c r="L318">
        <v>0.0</v>
      </c>
      <c r="M318"/>
      <c r="N318"/>
      <c r="O318">
        <v>30.51</v>
      </c>
      <c r="P318">
        <v>0.0</v>
      </c>
      <c r="Q318">
        <v>200.0</v>
      </c>
      <c r="R318"/>
      <c r="S318"/>
      <c r="T318"/>
      <c r="U318"/>
      <c r="V318"/>
      <c r="W318">
        <v>18</v>
      </c>
    </row>
    <row r="319" spans="1:23">
      <c r="A319"/>
      <c r="B319" t="s">
        <v>58</v>
      </c>
      <c r="C319" t="s">
        <v>58</v>
      </c>
      <c r="D319" t="s">
        <v>37</v>
      </c>
      <c r="E319" t="s">
        <v>38</v>
      </c>
      <c r="F319" t="str">
        <f>"0000429"</f>
        <v>0000429</v>
      </c>
      <c r="G319">
        <v>1</v>
      </c>
      <c r="H319" t="str">
        <f>"00000000"</f>
        <v>00000000</v>
      </c>
      <c r="I319" t="s">
        <v>39</v>
      </c>
      <c r="J319"/>
      <c r="K319">
        <v>127.12</v>
      </c>
      <c r="L319">
        <v>0.0</v>
      </c>
      <c r="M319"/>
      <c r="N319"/>
      <c r="O319">
        <v>22.88</v>
      </c>
      <c r="P319">
        <v>0.0</v>
      </c>
      <c r="Q319">
        <v>150.0</v>
      </c>
      <c r="R319"/>
      <c r="S319"/>
      <c r="T319"/>
      <c r="U319"/>
      <c r="V319"/>
      <c r="W319">
        <v>18</v>
      </c>
    </row>
    <row r="320" spans="1:23">
      <c r="A320"/>
      <c r="B320" t="s">
        <v>58</v>
      </c>
      <c r="C320" t="s">
        <v>58</v>
      </c>
      <c r="D320" t="s">
        <v>37</v>
      </c>
      <c r="E320" t="s">
        <v>38</v>
      </c>
      <c r="F320" t="str">
        <f>"0000430"</f>
        <v>0000430</v>
      </c>
      <c r="G320">
        <v>1</v>
      </c>
      <c r="H320" t="str">
        <f>"00000000"</f>
        <v>00000000</v>
      </c>
      <c r="I320" t="s">
        <v>39</v>
      </c>
      <c r="J320"/>
      <c r="K320">
        <v>254.24</v>
      </c>
      <c r="L320">
        <v>0.0</v>
      </c>
      <c r="M320"/>
      <c r="N320"/>
      <c r="O320">
        <v>45.76</v>
      </c>
      <c r="P320">
        <v>0.0</v>
      </c>
      <c r="Q320">
        <v>300.0</v>
      </c>
      <c r="R320"/>
      <c r="S320"/>
      <c r="T320"/>
      <c r="U320"/>
      <c r="V320"/>
      <c r="W320">
        <v>18</v>
      </c>
    </row>
    <row r="321" spans="1:23">
      <c r="A321"/>
      <c r="B321" t="s">
        <v>58</v>
      </c>
      <c r="C321" t="s">
        <v>58</v>
      </c>
      <c r="D321" t="s">
        <v>37</v>
      </c>
      <c r="E321" t="s">
        <v>38</v>
      </c>
      <c r="F321" t="str">
        <f>"0000431"</f>
        <v>0000431</v>
      </c>
      <c r="G321">
        <v>1</v>
      </c>
      <c r="H321" t="str">
        <f>"00000000"</f>
        <v>00000000</v>
      </c>
      <c r="I321" t="s">
        <v>39</v>
      </c>
      <c r="J321"/>
      <c r="K321">
        <v>360.17</v>
      </c>
      <c r="L321">
        <v>0.0</v>
      </c>
      <c r="M321"/>
      <c r="N321"/>
      <c r="O321">
        <v>64.83</v>
      </c>
      <c r="P321">
        <v>0.0</v>
      </c>
      <c r="Q321">
        <v>425.0</v>
      </c>
      <c r="R321"/>
      <c r="S321"/>
      <c r="T321"/>
      <c r="U321"/>
      <c r="V321"/>
      <c r="W321">
        <v>18</v>
      </c>
    </row>
    <row r="322" spans="1:23">
      <c r="A322"/>
      <c r="B322" t="s">
        <v>58</v>
      </c>
      <c r="C322" t="s">
        <v>58</v>
      </c>
      <c r="D322" t="s">
        <v>37</v>
      </c>
      <c r="E322" t="s">
        <v>38</v>
      </c>
      <c r="F322" t="str">
        <f>"0000432"</f>
        <v>0000432</v>
      </c>
      <c r="G322">
        <v>1</v>
      </c>
      <c r="H322" t="str">
        <f>"00000000"</f>
        <v>00000000</v>
      </c>
      <c r="I322" t="s">
        <v>39</v>
      </c>
      <c r="J322"/>
      <c r="K322">
        <v>296.61</v>
      </c>
      <c r="L322">
        <v>0.0</v>
      </c>
      <c r="M322"/>
      <c r="N322"/>
      <c r="O322">
        <v>53.39</v>
      </c>
      <c r="P322">
        <v>0.0</v>
      </c>
      <c r="Q322">
        <v>350.0</v>
      </c>
      <c r="R322"/>
      <c r="S322"/>
      <c r="T322"/>
      <c r="U322"/>
      <c r="V322"/>
      <c r="W322">
        <v>18</v>
      </c>
    </row>
    <row r="323" spans="1:23">
      <c r="A323"/>
      <c r="B323" t="s">
        <v>58</v>
      </c>
      <c r="C323" t="s">
        <v>58</v>
      </c>
      <c r="D323" t="s">
        <v>37</v>
      </c>
      <c r="E323" t="s">
        <v>38</v>
      </c>
      <c r="F323" t="str">
        <f>"0000433"</f>
        <v>0000433</v>
      </c>
      <c r="G323">
        <v>1</v>
      </c>
      <c r="H323" t="str">
        <f>"00000000"</f>
        <v>00000000</v>
      </c>
      <c r="I323" t="s">
        <v>39</v>
      </c>
      <c r="J323"/>
      <c r="K323">
        <v>296.61</v>
      </c>
      <c r="L323">
        <v>0.0</v>
      </c>
      <c r="M323"/>
      <c r="N323"/>
      <c r="O323">
        <v>53.39</v>
      </c>
      <c r="P323">
        <v>0.0</v>
      </c>
      <c r="Q323">
        <v>350.0</v>
      </c>
      <c r="R323"/>
      <c r="S323"/>
      <c r="T323"/>
      <c r="U323"/>
      <c r="V323"/>
      <c r="W323">
        <v>18</v>
      </c>
    </row>
    <row r="324" spans="1:23">
      <c r="A324"/>
      <c r="B324" t="s">
        <v>59</v>
      </c>
      <c r="C324" t="s">
        <v>59</v>
      </c>
      <c r="D324" t="s">
        <v>37</v>
      </c>
      <c r="E324" t="s">
        <v>38</v>
      </c>
      <c r="F324" t="str">
        <f>"0000434"</f>
        <v>0000434</v>
      </c>
      <c r="G324">
        <v>1</v>
      </c>
      <c r="H324" t="str">
        <f>"00000000"</f>
        <v>00000000</v>
      </c>
      <c r="I324" t="s">
        <v>39</v>
      </c>
      <c r="J324"/>
      <c r="K324">
        <v>254.24</v>
      </c>
      <c r="L324">
        <v>0.0</v>
      </c>
      <c r="M324"/>
      <c r="N324"/>
      <c r="O324">
        <v>45.76</v>
      </c>
      <c r="P324">
        <v>0.0</v>
      </c>
      <c r="Q324">
        <v>300.0</v>
      </c>
      <c r="R324"/>
      <c r="S324"/>
      <c r="T324"/>
      <c r="U324"/>
      <c r="V324"/>
      <c r="W324">
        <v>18</v>
      </c>
    </row>
    <row r="325" spans="1:23">
      <c r="A325"/>
      <c r="B325" t="s">
        <v>59</v>
      </c>
      <c r="C325" t="s">
        <v>59</v>
      </c>
      <c r="D325" t="s">
        <v>37</v>
      </c>
      <c r="E325" t="s">
        <v>38</v>
      </c>
      <c r="F325" t="str">
        <f>"0000435"</f>
        <v>0000435</v>
      </c>
      <c r="G325">
        <v>1</v>
      </c>
      <c r="H325" t="str">
        <f>"00000000"</f>
        <v>00000000</v>
      </c>
      <c r="I325" t="s">
        <v>39</v>
      </c>
      <c r="J325"/>
      <c r="K325">
        <v>254.24</v>
      </c>
      <c r="L325">
        <v>0.0</v>
      </c>
      <c r="M325"/>
      <c r="N325"/>
      <c r="O325">
        <v>45.76</v>
      </c>
      <c r="P325">
        <v>0.0</v>
      </c>
      <c r="Q325">
        <v>300.0</v>
      </c>
      <c r="R325"/>
      <c r="S325"/>
      <c r="T325"/>
      <c r="U325"/>
      <c r="V325"/>
      <c r="W325">
        <v>18</v>
      </c>
    </row>
    <row r="326" spans="1:23">
      <c r="A326"/>
      <c r="B326" t="s">
        <v>59</v>
      </c>
      <c r="C326" t="s">
        <v>59</v>
      </c>
      <c r="D326" t="s">
        <v>37</v>
      </c>
      <c r="E326" t="s">
        <v>38</v>
      </c>
      <c r="F326" t="str">
        <f>"0000436"</f>
        <v>0000436</v>
      </c>
      <c r="G326">
        <v>1</v>
      </c>
      <c r="H326" t="str">
        <f>"00000000"</f>
        <v>00000000</v>
      </c>
      <c r="I326" t="s">
        <v>39</v>
      </c>
      <c r="J326"/>
      <c r="K326">
        <v>330.51</v>
      </c>
      <c r="L326">
        <v>0.0</v>
      </c>
      <c r="M326"/>
      <c r="N326"/>
      <c r="O326">
        <v>59.49</v>
      </c>
      <c r="P326">
        <v>0.0</v>
      </c>
      <c r="Q326">
        <v>390.0</v>
      </c>
      <c r="R326"/>
      <c r="S326"/>
      <c r="T326"/>
      <c r="U326"/>
      <c r="V326"/>
      <c r="W326">
        <v>18</v>
      </c>
    </row>
    <row r="327" spans="1:23">
      <c r="A327"/>
      <c r="B327" t="s">
        <v>59</v>
      </c>
      <c r="C327" t="s">
        <v>59</v>
      </c>
      <c r="D327" t="s">
        <v>37</v>
      </c>
      <c r="E327" t="s">
        <v>38</v>
      </c>
      <c r="F327" t="str">
        <f>"0000437"</f>
        <v>0000437</v>
      </c>
      <c r="G327">
        <v>1</v>
      </c>
      <c r="H327" t="str">
        <f>"00000000"</f>
        <v>00000000</v>
      </c>
      <c r="I327" t="s">
        <v>39</v>
      </c>
      <c r="J327"/>
      <c r="K327">
        <v>338.98</v>
      </c>
      <c r="L327">
        <v>0.0</v>
      </c>
      <c r="M327"/>
      <c r="N327"/>
      <c r="O327">
        <v>61.02</v>
      </c>
      <c r="P327">
        <v>0.0</v>
      </c>
      <c r="Q327">
        <v>400.0</v>
      </c>
      <c r="R327"/>
      <c r="S327"/>
      <c r="T327"/>
      <c r="U327"/>
      <c r="V327"/>
      <c r="W327">
        <v>18</v>
      </c>
    </row>
    <row r="328" spans="1:23">
      <c r="A328"/>
      <c r="B328" t="s">
        <v>59</v>
      </c>
      <c r="C328" t="s">
        <v>59</v>
      </c>
      <c r="D328" t="s">
        <v>37</v>
      </c>
      <c r="E328" t="s">
        <v>38</v>
      </c>
      <c r="F328" t="str">
        <f>"0000438"</f>
        <v>0000438</v>
      </c>
      <c r="G328">
        <v>1</v>
      </c>
      <c r="H328" t="str">
        <f>"00000000"</f>
        <v>00000000</v>
      </c>
      <c r="I328" t="s">
        <v>39</v>
      </c>
      <c r="J328"/>
      <c r="K328">
        <v>279.66</v>
      </c>
      <c r="L328">
        <v>0.0</v>
      </c>
      <c r="M328"/>
      <c r="N328"/>
      <c r="O328">
        <v>50.34</v>
      </c>
      <c r="P328">
        <v>0.0</v>
      </c>
      <c r="Q328">
        <v>330.0</v>
      </c>
      <c r="R328"/>
      <c r="S328"/>
      <c r="T328"/>
      <c r="U328"/>
      <c r="V328"/>
      <c r="W328">
        <v>18</v>
      </c>
    </row>
    <row r="329" spans="1:23">
      <c r="A329"/>
      <c r="B329" t="s">
        <v>59</v>
      </c>
      <c r="C329" t="s">
        <v>59</v>
      </c>
      <c r="D329" t="s">
        <v>37</v>
      </c>
      <c r="E329" t="s">
        <v>38</v>
      </c>
      <c r="F329" t="str">
        <f>"0000439"</f>
        <v>0000439</v>
      </c>
      <c r="G329">
        <v>1</v>
      </c>
      <c r="H329" t="str">
        <f>"00000000"</f>
        <v>00000000</v>
      </c>
      <c r="I329" t="s">
        <v>39</v>
      </c>
      <c r="J329"/>
      <c r="K329">
        <v>406.78</v>
      </c>
      <c r="L329">
        <v>0.0</v>
      </c>
      <c r="M329"/>
      <c r="N329"/>
      <c r="O329">
        <v>73.22</v>
      </c>
      <c r="P329">
        <v>0.0</v>
      </c>
      <c r="Q329">
        <v>480.0</v>
      </c>
      <c r="R329"/>
      <c r="S329"/>
      <c r="T329"/>
      <c r="U329"/>
      <c r="V329"/>
      <c r="W329">
        <v>18</v>
      </c>
    </row>
    <row r="330" spans="1:23">
      <c r="A330"/>
      <c r="B330" t="s">
        <v>59</v>
      </c>
      <c r="C330" t="s">
        <v>59</v>
      </c>
      <c r="D330" t="s">
        <v>37</v>
      </c>
      <c r="E330" t="s">
        <v>38</v>
      </c>
      <c r="F330" t="str">
        <f>"0000440"</f>
        <v>0000440</v>
      </c>
      <c r="G330">
        <v>1</v>
      </c>
      <c r="H330" t="str">
        <f>"00000000"</f>
        <v>00000000</v>
      </c>
      <c r="I330" t="s">
        <v>39</v>
      </c>
      <c r="J330"/>
      <c r="K330">
        <v>271.19</v>
      </c>
      <c r="L330">
        <v>0.0</v>
      </c>
      <c r="M330"/>
      <c r="N330"/>
      <c r="O330">
        <v>48.81</v>
      </c>
      <c r="P330">
        <v>0.0</v>
      </c>
      <c r="Q330">
        <v>320.0</v>
      </c>
      <c r="R330"/>
      <c r="S330"/>
      <c r="T330"/>
      <c r="U330"/>
      <c r="V330"/>
      <c r="W330">
        <v>18</v>
      </c>
    </row>
    <row r="331" spans="1:23">
      <c r="A331"/>
      <c r="B331" t="s">
        <v>59</v>
      </c>
      <c r="C331" t="s">
        <v>59</v>
      </c>
      <c r="D331" t="s">
        <v>37</v>
      </c>
      <c r="E331" t="s">
        <v>38</v>
      </c>
      <c r="F331" t="str">
        <f>"0000441"</f>
        <v>0000441</v>
      </c>
      <c r="G331">
        <v>1</v>
      </c>
      <c r="H331" t="str">
        <f>"00000000"</f>
        <v>00000000</v>
      </c>
      <c r="I331" t="s">
        <v>39</v>
      </c>
      <c r="J331"/>
      <c r="K331">
        <v>355.93</v>
      </c>
      <c r="L331">
        <v>0.0</v>
      </c>
      <c r="M331"/>
      <c r="N331"/>
      <c r="O331">
        <v>64.07</v>
      </c>
      <c r="P331">
        <v>0.0</v>
      </c>
      <c r="Q331">
        <v>420.0</v>
      </c>
      <c r="R331"/>
      <c r="S331"/>
      <c r="T331"/>
      <c r="U331"/>
      <c r="V331"/>
      <c r="W331">
        <v>18</v>
      </c>
    </row>
    <row r="332" spans="1:23">
      <c r="A332"/>
      <c r="B332" t="s">
        <v>59</v>
      </c>
      <c r="C332" t="s">
        <v>59</v>
      </c>
      <c r="D332" t="s">
        <v>37</v>
      </c>
      <c r="E332" t="s">
        <v>38</v>
      </c>
      <c r="F332" t="str">
        <f>"0000442"</f>
        <v>0000442</v>
      </c>
      <c r="G332">
        <v>1</v>
      </c>
      <c r="H332" t="str">
        <f>"00000000"</f>
        <v>00000000</v>
      </c>
      <c r="I332" t="s">
        <v>39</v>
      </c>
      <c r="J332"/>
      <c r="K332">
        <v>177.97</v>
      </c>
      <c r="L332">
        <v>0.0</v>
      </c>
      <c r="M332"/>
      <c r="N332"/>
      <c r="O332">
        <v>32.03</v>
      </c>
      <c r="P332">
        <v>0.0</v>
      </c>
      <c r="Q332">
        <v>210.0</v>
      </c>
      <c r="R332"/>
      <c r="S332"/>
      <c r="T332"/>
      <c r="U332"/>
      <c r="V332"/>
      <c r="W332">
        <v>18</v>
      </c>
    </row>
    <row r="333" spans="1:23">
      <c r="A333"/>
      <c r="B333" t="s">
        <v>59</v>
      </c>
      <c r="C333" t="s">
        <v>59</v>
      </c>
      <c r="D333" t="s">
        <v>37</v>
      </c>
      <c r="E333" t="s">
        <v>38</v>
      </c>
      <c r="F333" t="str">
        <f>"0000443"</f>
        <v>0000443</v>
      </c>
      <c r="G333">
        <v>1</v>
      </c>
      <c r="H333" t="str">
        <f>"00000000"</f>
        <v>00000000</v>
      </c>
      <c r="I333" t="s">
        <v>39</v>
      </c>
      <c r="J333"/>
      <c r="K333">
        <v>254.24</v>
      </c>
      <c r="L333">
        <v>0.0</v>
      </c>
      <c r="M333"/>
      <c r="N333"/>
      <c r="O333">
        <v>45.76</v>
      </c>
      <c r="P333">
        <v>0.0</v>
      </c>
      <c r="Q333">
        <v>300.0</v>
      </c>
      <c r="R333"/>
      <c r="S333"/>
      <c r="T333"/>
      <c r="U333"/>
      <c r="V333"/>
      <c r="W333">
        <v>18</v>
      </c>
    </row>
    <row r="334" spans="1:23">
      <c r="A334"/>
      <c r="B334" t="s">
        <v>59</v>
      </c>
      <c r="C334" t="s">
        <v>59</v>
      </c>
      <c r="D334" t="s">
        <v>37</v>
      </c>
      <c r="E334" t="s">
        <v>38</v>
      </c>
      <c r="F334" t="str">
        <f>"0000444"</f>
        <v>0000444</v>
      </c>
      <c r="G334">
        <v>1</v>
      </c>
      <c r="H334" t="str">
        <f>"00000000"</f>
        <v>00000000</v>
      </c>
      <c r="I334" t="s">
        <v>39</v>
      </c>
      <c r="J334"/>
      <c r="K334">
        <v>360.17</v>
      </c>
      <c r="L334">
        <v>0.0</v>
      </c>
      <c r="M334"/>
      <c r="N334"/>
      <c r="O334">
        <v>64.83</v>
      </c>
      <c r="P334">
        <v>0.0</v>
      </c>
      <c r="Q334">
        <v>425.0</v>
      </c>
      <c r="R334"/>
      <c r="S334"/>
      <c r="T334"/>
      <c r="U334"/>
      <c r="V334"/>
      <c r="W334">
        <v>18</v>
      </c>
    </row>
    <row r="335" spans="1:23">
      <c r="A335"/>
      <c r="B335" t="s">
        <v>59</v>
      </c>
      <c r="C335" t="s">
        <v>59</v>
      </c>
      <c r="D335" t="s">
        <v>37</v>
      </c>
      <c r="E335" t="s">
        <v>38</v>
      </c>
      <c r="F335" t="str">
        <f>"0000445"</f>
        <v>0000445</v>
      </c>
      <c r="G335">
        <v>1</v>
      </c>
      <c r="H335" t="str">
        <f>"00000000"</f>
        <v>00000000</v>
      </c>
      <c r="I335" t="s">
        <v>39</v>
      </c>
      <c r="J335"/>
      <c r="K335">
        <v>406.78</v>
      </c>
      <c r="L335">
        <v>0.0</v>
      </c>
      <c r="M335"/>
      <c r="N335"/>
      <c r="O335">
        <v>73.22</v>
      </c>
      <c r="P335">
        <v>0.0</v>
      </c>
      <c r="Q335">
        <v>480.0</v>
      </c>
      <c r="R335"/>
      <c r="S335"/>
      <c r="T335"/>
      <c r="U335"/>
      <c r="V335"/>
      <c r="W335">
        <v>18</v>
      </c>
    </row>
    <row r="336" spans="1:23">
      <c r="A336"/>
      <c r="B336" t="s">
        <v>59</v>
      </c>
      <c r="C336" t="s">
        <v>59</v>
      </c>
      <c r="D336" t="s">
        <v>37</v>
      </c>
      <c r="E336" t="s">
        <v>38</v>
      </c>
      <c r="F336" t="str">
        <f>"0000446"</f>
        <v>0000446</v>
      </c>
      <c r="G336">
        <v>1</v>
      </c>
      <c r="H336" t="str">
        <f>"00000000"</f>
        <v>00000000</v>
      </c>
      <c r="I336" t="s">
        <v>39</v>
      </c>
      <c r="J336"/>
      <c r="K336">
        <v>271.19</v>
      </c>
      <c r="L336">
        <v>0.0</v>
      </c>
      <c r="M336"/>
      <c r="N336"/>
      <c r="O336">
        <v>48.81</v>
      </c>
      <c r="P336">
        <v>0.0</v>
      </c>
      <c r="Q336">
        <v>320.0</v>
      </c>
      <c r="R336"/>
      <c r="S336"/>
      <c r="T336"/>
      <c r="U336"/>
      <c r="V336"/>
      <c r="W336">
        <v>18</v>
      </c>
    </row>
    <row r="337" spans="1:23">
      <c r="A337"/>
      <c r="B337" t="s">
        <v>59</v>
      </c>
      <c r="C337" t="s">
        <v>59</v>
      </c>
      <c r="D337" t="s">
        <v>37</v>
      </c>
      <c r="E337" t="s">
        <v>38</v>
      </c>
      <c r="F337" t="str">
        <f>"0000447"</f>
        <v>0000447</v>
      </c>
      <c r="G337">
        <v>1</v>
      </c>
      <c r="H337" t="str">
        <f>"00000000"</f>
        <v>00000000</v>
      </c>
      <c r="I337" t="s">
        <v>39</v>
      </c>
      <c r="J337"/>
      <c r="K337">
        <v>296.61</v>
      </c>
      <c r="L337">
        <v>0.0</v>
      </c>
      <c r="M337"/>
      <c r="N337"/>
      <c r="O337">
        <v>53.39</v>
      </c>
      <c r="P337">
        <v>0.0</v>
      </c>
      <c r="Q337">
        <v>350.0</v>
      </c>
      <c r="R337"/>
      <c r="S337"/>
      <c r="T337"/>
      <c r="U337"/>
      <c r="V337"/>
      <c r="W337">
        <v>18</v>
      </c>
    </row>
    <row r="338" spans="1:23">
      <c r="A338"/>
      <c r="B338" t="s">
        <v>59</v>
      </c>
      <c r="C338" t="s">
        <v>59</v>
      </c>
      <c r="D338" t="s">
        <v>37</v>
      </c>
      <c r="E338" t="s">
        <v>38</v>
      </c>
      <c r="F338" t="str">
        <f>"0000448"</f>
        <v>0000448</v>
      </c>
      <c r="G338">
        <v>1</v>
      </c>
      <c r="H338" t="str">
        <f>"00000000"</f>
        <v>00000000</v>
      </c>
      <c r="I338" t="s">
        <v>39</v>
      </c>
      <c r="J338"/>
      <c r="K338">
        <v>355.93</v>
      </c>
      <c r="L338">
        <v>0.0</v>
      </c>
      <c r="M338"/>
      <c r="N338"/>
      <c r="O338">
        <v>64.07</v>
      </c>
      <c r="P338">
        <v>0.0</v>
      </c>
      <c r="Q338">
        <v>420.0</v>
      </c>
      <c r="R338"/>
      <c r="S338"/>
      <c r="T338"/>
      <c r="U338"/>
      <c r="V338"/>
      <c r="W338">
        <v>18</v>
      </c>
    </row>
    <row r="339" spans="1:23">
      <c r="A339"/>
      <c r="B339" t="s">
        <v>59</v>
      </c>
      <c r="C339" t="s">
        <v>59</v>
      </c>
      <c r="D339" t="s">
        <v>37</v>
      </c>
      <c r="E339" t="s">
        <v>38</v>
      </c>
      <c r="F339" t="str">
        <f>"0000449"</f>
        <v>0000449</v>
      </c>
      <c r="G339">
        <v>1</v>
      </c>
      <c r="H339" t="str">
        <f>"00000000"</f>
        <v>00000000</v>
      </c>
      <c r="I339" t="s">
        <v>39</v>
      </c>
      <c r="J339"/>
      <c r="K339">
        <v>381.36</v>
      </c>
      <c r="L339">
        <v>0.0</v>
      </c>
      <c r="M339"/>
      <c r="N339"/>
      <c r="O339">
        <v>68.64</v>
      </c>
      <c r="P339">
        <v>0.0</v>
      </c>
      <c r="Q339">
        <v>450.0</v>
      </c>
      <c r="R339"/>
      <c r="S339"/>
      <c r="T339"/>
      <c r="U339"/>
      <c r="V339"/>
      <c r="W339">
        <v>18</v>
      </c>
    </row>
    <row r="340" spans="1:23">
      <c r="A340"/>
      <c r="B340" t="s">
        <v>59</v>
      </c>
      <c r="C340" t="s">
        <v>59</v>
      </c>
      <c r="D340" t="s">
        <v>37</v>
      </c>
      <c r="E340" t="s">
        <v>38</v>
      </c>
      <c r="F340" t="str">
        <f>"0000450"</f>
        <v>0000450</v>
      </c>
      <c r="G340">
        <v>1</v>
      </c>
      <c r="H340" t="str">
        <f>"00000000"</f>
        <v>00000000</v>
      </c>
      <c r="I340" t="s">
        <v>39</v>
      </c>
      <c r="J340"/>
      <c r="K340">
        <v>220.34</v>
      </c>
      <c r="L340">
        <v>0.0</v>
      </c>
      <c r="M340"/>
      <c r="N340"/>
      <c r="O340">
        <v>39.66</v>
      </c>
      <c r="P340">
        <v>0.0</v>
      </c>
      <c r="Q340">
        <v>260.0</v>
      </c>
      <c r="R340"/>
      <c r="S340"/>
      <c r="T340"/>
      <c r="U340"/>
      <c r="V340"/>
      <c r="W340">
        <v>18</v>
      </c>
    </row>
    <row r="341" spans="1:23">
      <c r="A341"/>
      <c r="B341" t="s">
        <v>59</v>
      </c>
      <c r="C341" t="s">
        <v>59</v>
      </c>
      <c r="D341" t="s">
        <v>37</v>
      </c>
      <c r="E341" t="s">
        <v>38</v>
      </c>
      <c r="F341" t="str">
        <f>"0000451"</f>
        <v>0000451</v>
      </c>
      <c r="G341">
        <v>1</v>
      </c>
      <c r="H341" t="str">
        <f>"00000000"</f>
        <v>00000000</v>
      </c>
      <c r="I341" t="s">
        <v>39</v>
      </c>
      <c r="J341"/>
      <c r="K341">
        <v>381.36</v>
      </c>
      <c r="L341">
        <v>0.0</v>
      </c>
      <c r="M341"/>
      <c r="N341"/>
      <c r="O341">
        <v>68.64</v>
      </c>
      <c r="P341">
        <v>0.0</v>
      </c>
      <c r="Q341">
        <v>450.0</v>
      </c>
      <c r="R341"/>
      <c r="S341"/>
      <c r="T341"/>
      <c r="U341"/>
      <c r="V341"/>
      <c r="W341">
        <v>18</v>
      </c>
    </row>
    <row r="342" spans="1:23">
      <c r="A342"/>
      <c r="B342" t="s">
        <v>59</v>
      </c>
      <c r="C342" t="s">
        <v>59</v>
      </c>
      <c r="D342" t="s">
        <v>37</v>
      </c>
      <c r="E342" t="s">
        <v>38</v>
      </c>
      <c r="F342" t="str">
        <f>"0000452"</f>
        <v>0000452</v>
      </c>
      <c r="G342">
        <v>1</v>
      </c>
      <c r="H342" t="str">
        <f>"00000000"</f>
        <v>00000000</v>
      </c>
      <c r="I342" t="s">
        <v>39</v>
      </c>
      <c r="J342"/>
      <c r="K342">
        <v>296.61</v>
      </c>
      <c r="L342">
        <v>0.0</v>
      </c>
      <c r="M342"/>
      <c r="N342"/>
      <c r="O342">
        <v>53.39</v>
      </c>
      <c r="P342">
        <v>0.0</v>
      </c>
      <c r="Q342">
        <v>350.0</v>
      </c>
      <c r="R342"/>
      <c r="S342"/>
      <c r="T342"/>
      <c r="U342"/>
      <c r="V342"/>
      <c r="W342">
        <v>18</v>
      </c>
    </row>
    <row r="343" spans="1:23">
      <c r="A343"/>
      <c r="B343" t="s">
        <v>59</v>
      </c>
      <c r="C343" t="s">
        <v>59</v>
      </c>
      <c r="D343" t="s">
        <v>37</v>
      </c>
      <c r="E343" t="s">
        <v>38</v>
      </c>
      <c r="F343" t="str">
        <f>"0000453"</f>
        <v>0000453</v>
      </c>
      <c r="G343">
        <v>1</v>
      </c>
      <c r="H343" t="str">
        <f>"00000000"</f>
        <v>00000000</v>
      </c>
      <c r="I343" t="s">
        <v>39</v>
      </c>
      <c r="J343"/>
      <c r="K343">
        <v>338.98</v>
      </c>
      <c r="L343">
        <v>0.0</v>
      </c>
      <c r="M343"/>
      <c r="N343"/>
      <c r="O343">
        <v>61.02</v>
      </c>
      <c r="P343">
        <v>0.0</v>
      </c>
      <c r="Q343">
        <v>400.0</v>
      </c>
      <c r="R343"/>
      <c r="S343"/>
      <c r="T343"/>
      <c r="U343"/>
      <c r="V343"/>
      <c r="W343">
        <v>18</v>
      </c>
    </row>
    <row r="344" spans="1:23">
      <c r="A344"/>
      <c r="B344" t="s">
        <v>59</v>
      </c>
      <c r="C344" t="s">
        <v>59</v>
      </c>
      <c r="D344" t="s">
        <v>37</v>
      </c>
      <c r="E344" t="s">
        <v>38</v>
      </c>
      <c r="F344" t="str">
        <f>"0000454"</f>
        <v>0000454</v>
      </c>
      <c r="G344">
        <v>1</v>
      </c>
      <c r="H344" t="str">
        <f>"00000000"</f>
        <v>00000000</v>
      </c>
      <c r="I344" t="s">
        <v>39</v>
      </c>
      <c r="J344"/>
      <c r="K344">
        <v>322.03</v>
      </c>
      <c r="L344">
        <v>0.0</v>
      </c>
      <c r="M344"/>
      <c r="N344"/>
      <c r="O344">
        <v>57.97</v>
      </c>
      <c r="P344">
        <v>0.0</v>
      </c>
      <c r="Q344">
        <v>380.0</v>
      </c>
      <c r="R344"/>
      <c r="S344"/>
      <c r="T344"/>
      <c r="U344"/>
      <c r="V344"/>
      <c r="W344">
        <v>18</v>
      </c>
    </row>
    <row r="345" spans="1:23">
      <c r="A345"/>
      <c r="B345" t="s">
        <v>59</v>
      </c>
      <c r="C345" t="s">
        <v>59</v>
      </c>
      <c r="D345" t="s">
        <v>37</v>
      </c>
      <c r="E345" t="s">
        <v>38</v>
      </c>
      <c r="F345" t="str">
        <f>"0000455"</f>
        <v>0000455</v>
      </c>
      <c r="G345">
        <v>1</v>
      </c>
      <c r="H345" t="str">
        <f>"00000000"</f>
        <v>00000000</v>
      </c>
      <c r="I345" t="s">
        <v>39</v>
      </c>
      <c r="J345"/>
      <c r="K345">
        <v>296.61</v>
      </c>
      <c r="L345">
        <v>0.0</v>
      </c>
      <c r="M345"/>
      <c r="N345"/>
      <c r="O345">
        <v>53.39</v>
      </c>
      <c r="P345">
        <v>0.0</v>
      </c>
      <c r="Q345">
        <v>350.0</v>
      </c>
      <c r="R345"/>
      <c r="S345"/>
      <c r="T345"/>
      <c r="U345"/>
      <c r="V345"/>
      <c r="W345">
        <v>18</v>
      </c>
    </row>
    <row r="346" spans="1:23">
      <c r="A346"/>
      <c r="B346" t="s">
        <v>59</v>
      </c>
      <c r="C346" t="s">
        <v>59</v>
      </c>
      <c r="D346" t="s">
        <v>37</v>
      </c>
      <c r="E346" t="s">
        <v>38</v>
      </c>
      <c r="F346" t="str">
        <f>"0000456"</f>
        <v>0000456</v>
      </c>
      <c r="G346">
        <v>1</v>
      </c>
      <c r="H346" t="str">
        <f>"00000000"</f>
        <v>00000000</v>
      </c>
      <c r="I346" t="s">
        <v>39</v>
      </c>
      <c r="J346"/>
      <c r="K346">
        <v>296.61</v>
      </c>
      <c r="L346">
        <v>0.0</v>
      </c>
      <c r="M346"/>
      <c r="N346"/>
      <c r="O346">
        <v>53.39</v>
      </c>
      <c r="P346">
        <v>0.0</v>
      </c>
      <c r="Q346">
        <v>350.0</v>
      </c>
      <c r="R346"/>
      <c r="S346"/>
      <c r="T346"/>
      <c r="U346"/>
      <c r="V346"/>
      <c r="W346">
        <v>18</v>
      </c>
    </row>
    <row r="347" spans="1:23">
      <c r="A347"/>
      <c r="B347" t="s">
        <v>59</v>
      </c>
      <c r="C347" t="s">
        <v>59</v>
      </c>
      <c r="D347" t="s">
        <v>37</v>
      </c>
      <c r="E347" t="s">
        <v>38</v>
      </c>
      <c r="F347" t="str">
        <f>"0000457"</f>
        <v>0000457</v>
      </c>
      <c r="G347">
        <v>1</v>
      </c>
      <c r="H347" t="str">
        <f>"00000000"</f>
        <v>00000000</v>
      </c>
      <c r="I347" t="s">
        <v>39</v>
      </c>
      <c r="J347"/>
      <c r="K347">
        <v>381.36</v>
      </c>
      <c r="L347">
        <v>0.0</v>
      </c>
      <c r="M347"/>
      <c r="N347"/>
      <c r="O347">
        <v>68.64</v>
      </c>
      <c r="P347">
        <v>0.0</v>
      </c>
      <c r="Q347">
        <v>450.0</v>
      </c>
      <c r="R347"/>
      <c r="S347"/>
      <c r="T347"/>
      <c r="U347"/>
      <c r="V347"/>
      <c r="W347">
        <v>18</v>
      </c>
    </row>
    <row r="348" spans="1:23">
      <c r="A348"/>
      <c r="B348" t="s">
        <v>59</v>
      </c>
      <c r="C348" t="s">
        <v>59</v>
      </c>
      <c r="D348" t="s">
        <v>33</v>
      </c>
      <c r="E348" t="s">
        <v>34</v>
      </c>
      <c r="F348" t="str">
        <f>"0000023"</f>
        <v>0000023</v>
      </c>
      <c r="G348">
        <v>6</v>
      </c>
      <c r="H348" t="str">
        <f>"20479378763"</f>
        <v>20479378763</v>
      </c>
      <c r="I348" t="s">
        <v>51</v>
      </c>
      <c r="J348"/>
      <c r="K348">
        <v>440.68</v>
      </c>
      <c r="L348">
        <v>0.0</v>
      </c>
      <c r="M348"/>
      <c r="N348"/>
      <c r="O348">
        <v>79.32</v>
      </c>
      <c r="P348">
        <v>0.0</v>
      </c>
      <c r="Q348">
        <v>520.0</v>
      </c>
      <c r="R348"/>
      <c r="S348"/>
      <c r="T348"/>
      <c r="U348"/>
      <c r="V348"/>
      <c r="W348">
        <v>18</v>
      </c>
    </row>
    <row r="349" spans="1:23">
      <c r="A349"/>
      <c r="B349" t="s">
        <v>59</v>
      </c>
      <c r="C349" t="s">
        <v>59</v>
      </c>
      <c r="D349" t="s">
        <v>37</v>
      </c>
      <c r="E349" t="s">
        <v>38</v>
      </c>
      <c r="F349" t="str">
        <f>"0000458"</f>
        <v>0000458</v>
      </c>
      <c r="G349">
        <v>1</v>
      </c>
      <c r="H349" t="str">
        <f>"00000000"</f>
        <v>00000000</v>
      </c>
      <c r="I349" t="s">
        <v>39</v>
      </c>
      <c r="J349"/>
      <c r="K349">
        <v>296.61</v>
      </c>
      <c r="L349">
        <v>0.0</v>
      </c>
      <c r="M349"/>
      <c r="N349"/>
      <c r="O349">
        <v>53.39</v>
      </c>
      <c r="P349">
        <v>0.0</v>
      </c>
      <c r="Q349">
        <v>350.0</v>
      </c>
      <c r="R349"/>
      <c r="S349"/>
      <c r="T349"/>
      <c r="U349"/>
      <c r="V349"/>
      <c r="W349">
        <v>18</v>
      </c>
    </row>
    <row r="350" spans="1:23">
      <c r="A350"/>
      <c r="B350" t="s">
        <v>59</v>
      </c>
      <c r="C350" t="s">
        <v>59</v>
      </c>
      <c r="D350" t="s">
        <v>37</v>
      </c>
      <c r="E350" t="s">
        <v>38</v>
      </c>
      <c r="F350" t="str">
        <f>"0000459"</f>
        <v>0000459</v>
      </c>
      <c r="G350">
        <v>1</v>
      </c>
      <c r="H350" t="str">
        <f>"00000000"</f>
        <v>00000000</v>
      </c>
      <c r="I350" t="s">
        <v>39</v>
      </c>
      <c r="J350"/>
      <c r="K350">
        <v>338.98</v>
      </c>
      <c r="L350">
        <v>0.0</v>
      </c>
      <c r="M350"/>
      <c r="N350"/>
      <c r="O350">
        <v>61.02</v>
      </c>
      <c r="P350">
        <v>0.0</v>
      </c>
      <c r="Q350">
        <v>400.0</v>
      </c>
      <c r="R350"/>
      <c r="S350"/>
      <c r="T350"/>
      <c r="U350"/>
      <c r="V350"/>
      <c r="W350">
        <v>18</v>
      </c>
    </row>
    <row r="351" spans="1:23">
      <c r="A351"/>
      <c r="B351" t="s">
        <v>59</v>
      </c>
      <c r="C351" t="s">
        <v>59</v>
      </c>
      <c r="D351" t="s">
        <v>37</v>
      </c>
      <c r="E351" t="s">
        <v>38</v>
      </c>
      <c r="F351" t="str">
        <f>"0000460"</f>
        <v>0000460</v>
      </c>
      <c r="G351">
        <v>1</v>
      </c>
      <c r="H351" t="str">
        <f>"00000000"</f>
        <v>00000000</v>
      </c>
      <c r="I351" t="s">
        <v>39</v>
      </c>
      <c r="J351"/>
      <c r="K351">
        <v>338.98</v>
      </c>
      <c r="L351">
        <v>0.0</v>
      </c>
      <c r="M351"/>
      <c r="N351"/>
      <c r="O351">
        <v>61.02</v>
      </c>
      <c r="P351">
        <v>0.0</v>
      </c>
      <c r="Q351">
        <v>400.0</v>
      </c>
      <c r="R351"/>
      <c r="S351"/>
      <c r="T351"/>
      <c r="U351"/>
      <c r="V351"/>
      <c r="W351">
        <v>18</v>
      </c>
    </row>
    <row r="352" spans="1:23">
      <c r="A352"/>
      <c r="B352" t="s">
        <v>59</v>
      </c>
      <c r="C352" t="s">
        <v>59</v>
      </c>
      <c r="D352" t="s">
        <v>37</v>
      </c>
      <c r="E352" t="s">
        <v>38</v>
      </c>
      <c r="F352" t="str">
        <f>"0000461"</f>
        <v>0000461</v>
      </c>
      <c r="G352">
        <v>1</v>
      </c>
      <c r="H352" t="str">
        <f>"00000000"</f>
        <v>00000000</v>
      </c>
      <c r="I352" t="s">
        <v>39</v>
      </c>
      <c r="J352"/>
      <c r="K352">
        <v>296.61</v>
      </c>
      <c r="L352">
        <v>0.0</v>
      </c>
      <c r="M352"/>
      <c r="N352"/>
      <c r="O352">
        <v>53.39</v>
      </c>
      <c r="P352">
        <v>0.0</v>
      </c>
      <c r="Q352">
        <v>350.0</v>
      </c>
      <c r="R352"/>
      <c r="S352"/>
      <c r="T352"/>
      <c r="U352"/>
      <c r="V352"/>
      <c r="W352">
        <v>18</v>
      </c>
    </row>
    <row r="353" spans="1:23">
      <c r="A353"/>
      <c r="B353" t="s">
        <v>59</v>
      </c>
      <c r="C353" t="s">
        <v>59</v>
      </c>
      <c r="D353" t="s">
        <v>37</v>
      </c>
      <c r="E353" t="s">
        <v>38</v>
      </c>
      <c r="F353" t="str">
        <f>"0000462"</f>
        <v>0000462</v>
      </c>
      <c r="G353">
        <v>1</v>
      </c>
      <c r="H353" t="str">
        <f>"00000000"</f>
        <v>00000000</v>
      </c>
      <c r="I353" t="s">
        <v>39</v>
      </c>
      <c r="J353"/>
      <c r="K353">
        <v>211.86</v>
      </c>
      <c r="L353">
        <v>0.0</v>
      </c>
      <c r="M353"/>
      <c r="N353"/>
      <c r="O353">
        <v>38.14</v>
      </c>
      <c r="P353">
        <v>0.0</v>
      </c>
      <c r="Q353">
        <v>250.0</v>
      </c>
      <c r="R353"/>
      <c r="S353"/>
      <c r="T353"/>
      <c r="U353"/>
      <c r="V353"/>
      <c r="W353">
        <v>18</v>
      </c>
    </row>
    <row r="354" spans="1:23">
      <c r="A354"/>
      <c r="B354" t="s">
        <v>59</v>
      </c>
      <c r="C354" t="s">
        <v>59</v>
      </c>
      <c r="D354" t="s">
        <v>37</v>
      </c>
      <c r="E354" t="s">
        <v>38</v>
      </c>
      <c r="F354" t="str">
        <f>"0000463"</f>
        <v>0000463</v>
      </c>
      <c r="G354">
        <v>1</v>
      </c>
      <c r="H354" t="str">
        <f>"00000000"</f>
        <v>00000000</v>
      </c>
      <c r="I354" t="s">
        <v>39</v>
      </c>
      <c r="J354"/>
      <c r="K354">
        <v>296.61</v>
      </c>
      <c r="L354">
        <v>0.0</v>
      </c>
      <c r="M354"/>
      <c r="N354"/>
      <c r="O354">
        <v>53.39</v>
      </c>
      <c r="P354">
        <v>0.0</v>
      </c>
      <c r="Q354">
        <v>350.0</v>
      </c>
      <c r="R354"/>
      <c r="S354"/>
      <c r="T354"/>
      <c r="U354"/>
      <c r="V354"/>
      <c r="W354">
        <v>18</v>
      </c>
    </row>
    <row r="355" spans="1:23">
      <c r="A355"/>
      <c r="B355" t="s">
        <v>60</v>
      </c>
      <c r="C355" t="s">
        <v>60</v>
      </c>
      <c r="D355" t="s">
        <v>37</v>
      </c>
      <c r="E355" t="s">
        <v>38</v>
      </c>
      <c r="F355" t="str">
        <f>"0000464"</f>
        <v>0000464</v>
      </c>
      <c r="G355">
        <v>1</v>
      </c>
      <c r="H355" t="str">
        <f>"00000000"</f>
        <v>00000000</v>
      </c>
      <c r="I355" t="s">
        <v>39</v>
      </c>
      <c r="J355"/>
      <c r="K355">
        <v>355.93</v>
      </c>
      <c r="L355">
        <v>0.0</v>
      </c>
      <c r="M355"/>
      <c r="N355"/>
      <c r="O355">
        <v>64.07</v>
      </c>
      <c r="P355">
        <v>0.0</v>
      </c>
      <c r="Q355">
        <v>420.0</v>
      </c>
      <c r="R355"/>
      <c r="S355"/>
      <c r="T355"/>
      <c r="U355"/>
      <c r="V355"/>
      <c r="W355">
        <v>18</v>
      </c>
    </row>
    <row r="356" spans="1:23">
      <c r="A356"/>
      <c r="B356" t="s">
        <v>60</v>
      </c>
      <c r="C356" t="s">
        <v>60</v>
      </c>
      <c r="D356" t="s">
        <v>37</v>
      </c>
      <c r="E356" t="s">
        <v>38</v>
      </c>
      <c r="F356" t="str">
        <f>"0000465"</f>
        <v>0000465</v>
      </c>
      <c r="G356">
        <v>1</v>
      </c>
      <c r="H356" t="str">
        <f>"00000000"</f>
        <v>00000000</v>
      </c>
      <c r="I356" t="s">
        <v>39</v>
      </c>
      <c r="J356"/>
      <c r="K356">
        <v>368.64</v>
      </c>
      <c r="L356">
        <v>0.0</v>
      </c>
      <c r="M356"/>
      <c r="N356"/>
      <c r="O356">
        <v>66.36</v>
      </c>
      <c r="P356">
        <v>0.0</v>
      </c>
      <c r="Q356">
        <v>435.0</v>
      </c>
      <c r="R356"/>
      <c r="S356"/>
      <c r="T356"/>
      <c r="U356"/>
      <c r="V356"/>
      <c r="W356">
        <v>18</v>
      </c>
    </row>
    <row r="357" spans="1:23">
      <c r="A357"/>
      <c r="B357" t="s">
        <v>60</v>
      </c>
      <c r="C357" t="s">
        <v>60</v>
      </c>
      <c r="D357" t="s">
        <v>37</v>
      </c>
      <c r="E357" t="s">
        <v>38</v>
      </c>
      <c r="F357" t="str">
        <f>"0000466"</f>
        <v>0000466</v>
      </c>
      <c r="G357">
        <v>1</v>
      </c>
      <c r="H357" t="str">
        <f>"00000000"</f>
        <v>00000000</v>
      </c>
      <c r="I357" t="s">
        <v>39</v>
      </c>
      <c r="J357"/>
      <c r="K357">
        <v>254.24</v>
      </c>
      <c r="L357">
        <v>0.0</v>
      </c>
      <c r="M357"/>
      <c r="N357"/>
      <c r="O357">
        <v>45.76</v>
      </c>
      <c r="P357">
        <v>0.0</v>
      </c>
      <c r="Q357">
        <v>300.0</v>
      </c>
      <c r="R357"/>
      <c r="S357"/>
      <c r="T357"/>
      <c r="U357"/>
      <c r="V357"/>
      <c r="W357">
        <v>18</v>
      </c>
    </row>
    <row r="358" spans="1:23">
      <c r="A358"/>
      <c r="B358" t="s">
        <v>60</v>
      </c>
      <c r="C358" t="s">
        <v>60</v>
      </c>
      <c r="D358" t="s">
        <v>37</v>
      </c>
      <c r="E358" t="s">
        <v>38</v>
      </c>
      <c r="F358" t="str">
        <f>"0000467"</f>
        <v>0000467</v>
      </c>
      <c r="G358">
        <v>1</v>
      </c>
      <c r="H358" t="str">
        <f>"00000000"</f>
        <v>00000000</v>
      </c>
      <c r="I358" t="s">
        <v>39</v>
      </c>
      <c r="J358"/>
      <c r="K358">
        <v>338.98</v>
      </c>
      <c r="L358">
        <v>0.0</v>
      </c>
      <c r="M358"/>
      <c r="N358"/>
      <c r="O358">
        <v>61.02</v>
      </c>
      <c r="P358">
        <v>0.0</v>
      </c>
      <c r="Q358">
        <v>400.0</v>
      </c>
      <c r="R358"/>
      <c r="S358"/>
      <c r="T358"/>
      <c r="U358"/>
      <c r="V358"/>
      <c r="W358">
        <v>18</v>
      </c>
    </row>
    <row r="359" spans="1:23">
      <c r="A359"/>
      <c r="B359" t="s">
        <v>60</v>
      </c>
      <c r="C359" t="s">
        <v>60</v>
      </c>
      <c r="D359" t="s">
        <v>37</v>
      </c>
      <c r="E359" t="s">
        <v>38</v>
      </c>
      <c r="F359" t="str">
        <f>"0000468"</f>
        <v>0000468</v>
      </c>
      <c r="G359">
        <v>1</v>
      </c>
      <c r="H359" t="str">
        <f>"00000000"</f>
        <v>00000000</v>
      </c>
      <c r="I359" t="s">
        <v>39</v>
      </c>
      <c r="J359"/>
      <c r="K359">
        <v>338.98</v>
      </c>
      <c r="L359">
        <v>0.0</v>
      </c>
      <c r="M359"/>
      <c r="N359"/>
      <c r="O359">
        <v>61.02</v>
      </c>
      <c r="P359">
        <v>0.0</v>
      </c>
      <c r="Q359">
        <v>400.0</v>
      </c>
      <c r="R359"/>
      <c r="S359"/>
      <c r="T359"/>
      <c r="U359"/>
      <c r="V359"/>
      <c r="W359">
        <v>18</v>
      </c>
    </row>
    <row r="360" spans="1:23">
      <c r="A360"/>
      <c r="B360" t="s">
        <v>60</v>
      </c>
      <c r="C360" t="s">
        <v>60</v>
      </c>
      <c r="D360" t="s">
        <v>37</v>
      </c>
      <c r="E360" t="s">
        <v>38</v>
      </c>
      <c r="F360" t="str">
        <f>"0000469"</f>
        <v>0000469</v>
      </c>
      <c r="G360">
        <v>1</v>
      </c>
      <c r="H360" t="str">
        <f>"00000000"</f>
        <v>00000000</v>
      </c>
      <c r="I360" t="s">
        <v>39</v>
      </c>
      <c r="J360"/>
      <c r="K360">
        <v>190.68</v>
      </c>
      <c r="L360">
        <v>0.0</v>
      </c>
      <c r="M360"/>
      <c r="N360"/>
      <c r="O360">
        <v>34.32</v>
      </c>
      <c r="P360">
        <v>0.0</v>
      </c>
      <c r="Q360">
        <v>225.0</v>
      </c>
      <c r="R360"/>
      <c r="S360"/>
      <c r="T360"/>
      <c r="U360"/>
      <c r="V360"/>
      <c r="W360">
        <v>18</v>
      </c>
    </row>
    <row r="361" spans="1:23">
      <c r="A361"/>
      <c r="B361" t="s">
        <v>60</v>
      </c>
      <c r="C361" t="s">
        <v>60</v>
      </c>
      <c r="D361" t="s">
        <v>37</v>
      </c>
      <c r="E361" t="s">
        <v>38</v>
      </c>
      <c r="F361" t="str">
        <f>"0000470"</f>
        <v>0000470</v>
      </c>
      <c r="G361">
        <v>1</v>
      </c>
      <c r="H361" t="str">
        <f>"00000000"</f>
        <v>00000000</v>
      </c>
      <c r="I361" t="s">
        <v>39</v>
      </c>
      <c r="J361"/>
      <c r="K361">
        <v>406.78</v>
      </c>
      <c r="L361">
        <v>0.0</v>
      </c>
      <c r="M361"/>
      <c r="N361"/>
      <c r="O361">
        <v>73.22</v>
      </c>
      <c r="P361">
        <v>0.0</v>
      </c>
      <c r="Q361">
        <v>480.0</v>
      </c>
      <c r="R361"/>
      <c r="S361"/>
      <c r="T361"/>
      <c r="U361"/>
      <c r="V361"/>
      <c r="W361">
        <v>18</v>
      </c>
    </row>
    <row r="362" spans="1:23">
      <c r="A362"/>
      <c r="B362" t="s">
        <v>60</v>
      </c>
      <c r="C362" t="s">
        <v>60</v>
      </c>
      <c r="D362" t="s">
        <v>37</v>
      </c>
      <c r="E362" t="s">
        <v>38</v>
      </c>
      <c r="F362" t="str">
        <f>"0000471"</f>
        <v>0000471</v>
      </c>
      <c r="G362">
        <v>1</v>
      </c>
      <c r="H362" t="str">
        <f>"00000000"</f>
        <v>00000000</v>
      </c>
      <c r="I362" t="s">
        <v>39</v>
      </c>
      <c r="J362"/>
      <c r="K362">
        <v>296.61</v>
      </c>
      <c r="L362">
        <v>0.0</v>
      </c>
      <c r="M362"/>
      <c r="N362"/>
      <c r="O362">
        <v>53.39</v>
      </c>
      <c r="P362">
        <v>0.0</v>
      </c>
      <c r="Q362">
        <v>350.0</v>
      </c>
      <c r="R362"/>
      <c r="S362"/>
      <c r="T362"/>
      <c r="U362"/>
      <c r="V362"/>
      <c r="W362">
        <v>18</v>
      </c>
    </row>
    <row r="363" spans="1:23">
      <c r="A363"/>
      <c r="B363" t="s">
        <v>60</v>
      </c>
      <c r="C363" t="s">
        <v>60</v>
      </c>
      <c r="D363" t="s">
        <v>37</v>
      </c>
      <c r="E363" t="s">
        <v>38</v>
      </c>
      <c r="F363" t="str">
        <f>"0000472"</f>
        <v>0000472</v>
      </c>
      <c r="G363">
        <v>1</v>
      </c>
      <c r="H363" t="str">
        <f>"00000000"</f>
        <v>00000000</v>
      </c>
      <c r="I363" t="s">
        <v>39</v>
      </c>
      <c r="J363"/>
      <c r="K363">
        <v>254.24</v>
      </c>
      <c r="L363">
        <v>0.0</v>
      </c>
      <c r="M363"/>
      <c r="N363"/>
      <c r="O363">
        <v>45.76</v>
      </c>
      <c r="P363">
        <v>0.0</v>
      </c>
      <c r="Q363">
        <v>300.0</v>
      </c>
      <c r="R363"/>
      <c r="S363"/>
      <c r="T363"/>
      <c r="U363"/>
      <c r="V363"/>
      <c r="W363">
        <v>18</v>
      </c>
    </row>
    <row r="364" spans="1:23">
      <c r="A364"/>
      <c r="B364" t="s">
        <v>60</v>
      </c>
      <c r="C364" t="s">
        <v>60</v>
      </c>
      <c r="D364" t="s">
        <v>37</v>
      </c>
      <c r="E364" t="s">
        <v>38</v>
      </c>
      <c r="F364" t="str">
        <f>"0000473"</f>
        <v>0000473</v>
      </c>
      <c r="G364">
        <v>1</v>
      </c>
      <c r="H364" t="str">
        <f>"00000000"</f>
        <v>00000000</v>
      </c>
      <c r="I364" t="s">
        <v>39</v>
      </c>
      <c r="J364"/>
      <c r="K364">
        <v>338.98</v>
      </c>
      <c r="L364">
        <v>0.0</v>
      </c>
      <c r="M364"/>
      <c r="N364"/>
      <c r="O364">
        <v>61.02</v>
      </c>
      <c r="P364">
        <v>0.0</v>
      </c>
      <c r="Q364">
        <v>400.0</v>
      </c>
      <c r="R364"/>
      <c r="S364"/>
      <c r="T364"/>
      <c r="U364"/>
      <c r="V364"/>
      <c r="W364">
        <v>18</v>
      </c>
    </row>
    <row r="365" spans="1:23">
      <c r="A365"/>
      <c r="B365" t="s">
        <v>60</v>
      </c>
      <c r="C365" t="s">
        <v>60</v>
      </c>
      <c r="D365" t="s">
        <v>37</v>
      </c>
      <c r="E365" t="s">
        <v>38</v>
      </c>
      <c r="F365" t="str">
        <f>"0000474"</f>
        <v>0000474</v>
      </c>
      <c r="G365">
        <v>1</v>
      </c>
      <c r="H365" t="str">
        <f>"00000000"</f>
        <v>00000000</v>
      </c>
      <c r="I365" t="s">
        <v>39</v>
      </c>
      <c r="J365"/>
      <c r="K365">
        <v>271.19</v>
      </c>
      <c r="L365">
        <v>0.0</v>
      </c>
      <c r="M365"/>
      <c r="N365"/>
      <c r="O365">
        <v>48.81</v>
      </c>
      <c r="P365">
        <v>0.0</v>
      </c>
      <c r="Q365">
        <v>320.0</v>
      </c>
      <c r="R365"/>
      <c r="S365"/>
      <c r="T365"/>
      <c r="U365"/>
      <c r="V365"/>
      <c r="W365">
        <v>18</v>
      </c>
    </row>
    <row r="366" spans="1:23">
      <c r="A366"/>
      <c r="B366" t="s">
        <v>60</v>
      </c>
      <c r="C366" t="s">
        <v>60</v>
      </c>
      <c r="D366" t="s">
        <v>37</v>
      </c>
      <c r="E366" t="s">
        <v>38</v>
      </c>
      <c r="F366" t="str">
        <f>"0000475"</f>
        <v>0000475</v>
      </c>
      <c r="G366">
        <v>1</v>
      </c>
      <c r="H366" t="str">
        <f>"00000000"</f>
        <v>00000000</v>
      </c>
      <c r="I366" t="s">
        <v>39</v>
      </c>
      <c r="J366"/>
      <c r="K366">
        <v>296.61</v>
      </c>
      <c r="L366">
        <v>0.0</v>
      </c>
      <c r="M366"/>
      <c r="N366"/>
      <c r="O366">
        <v>53.39</v>
      </c>
      <c r="P366">
        <v>0.0</v>
      </c>
      <c r="Q366">
        <v>350.0</v>
      </c>
      <c r="R366"/>
      <c r="S366"/>
      <c r="T366"/>
      <c r="U366"/>
      <c r="V366"/>
      <c r="W366">
        <v>18</v>
      </c>
    </row>
    <row r="367" spans="1:23">
      <c r="A367"/>
      <c r="B367" t="s">
        <v>60</v>
      </c>
      <c r="C367" t="s">
        <v>60</v>
      </c>
      <c r="D367" t="s">
        <v>37</v>
      </c>
      <c r="E367" t="s">
        <v>38</v>
      </c>
      <c r="F367" t="str">
        <f>"0000476"</f>
        <v>0000476</v>
      </c>
      <c r="G367">
        <v>1</v>
      </c>
      <c r="H367" t="str">
        <f>"00000000"</f>
        <v>00000000</v>
      </c>
      <c r="I367" t="s">
        <v>39</v>
      </c>
      <c r="J367"/>
      <c r="K367">
        <v>296.61</v>
      </c>
      <c r="L367">
        <v>0.0</v>
      </c>
      <c r="M367"/>
      <c r="N367"/>
      <c r="O367">
        <v>53.39</v>
      </c>
      <c r="P367">
        <v>0.0</v>
      </c>
      <c r="Q367">
        <v>350.0</v>
      </c>
      <c r="R367"/>
      <c r="S367"/>
      <c r="T367"/>
      <c r="U367"/>
      <c r="V367"/>
      <c r="W367">
        <v>18</v>
      </c>
    </row>
    <row r="368" spans="1:23">
      <c r="A368"/>
      <c r="B368" t="s">
        <v>60</v>
      </c>
      <c r="C368" t="s">
        <v>60</v>
      </c>
      <c r="D368" t="s">
        <v>37</v>
      </c>
      <c r="E368" t="s">
        <v>38</v>
      </c>
      <c r="F368" t="str">
        <f>"0000477"</f>
        <v>0000477</v>
      </c>
      <c r="G368">
        <v>1</v>
      </c>
      <c r="H368" t="str">
        <f>"00000000"</f>
        <v>00000000</v>
      </c>
      <c r="I368" t="s">
        <v>39</v>
      </c>
      <c r="J368"/>
      <c r="K368">
        <v>355.93</v>
      </c>
      <c r="L368">
        <v>0.0</v>
      </c>
      <c r="M368"/>
      <c r="N368"/>
      <c r="O368">
        <v>64.07</v>
      </c>
      <c r="P368">
        <v>0.0</v>
      </c>
      <c r="Q368">
        <v>420.0</v>
      </c>
      <c r="R368"/>
      <c r="S368"/>
      <c r="T368"/>
      <c r="U368"/>
      <c r="V368"/>
      <c r="W368">
        <v>18</v>
      </c>
    </row>
    <row r="369" spans="1:23">
      <c r="A369"/>
      <c r="B369" t="s">
        <v>60</v>
      </c>
      <c r="C369" t="s">
        <v>60</v>
      </c>
      <c r="D369" t="s">
        <v>37</v>
      </c>
      <c r="E369" t="s">
        <v>38</v>
      </c>
      <c r="F369" t="str">
        <f>"0000478"</f>
        <v>0000478</v>
      </c>
      <c r="G369">
        <v>1</v>
      </c>
      <c r="H369" t="str">
        <f>"00000000"</f>
        <v>00000000</v>
      </c>
      <c r="I369" t="s">
        <v>39</v>
      </c>
      <c r="J369"/>
      <c r="K369">
        <v>355.93</v>
      </c>
      <c r="L369">
        <v>0.0</v>
      </c>
      <c r="M369"/>
      <c r="N369"/>
      <c r="O369">
        <v>64.07</v>
      </c>
      <c r="P369">
        <v>0.0</v>
      </c>
      <c r="Q369">
        <v>420.0</v>
      </c>
      <c r="R369"/>
      <c r="S369"/>
      <c r="T369"/>
      <c r="U369"/>
      <c r="V369"/>
      <c r="W369">
        <v>18</v>
      </c>
    </row>
    <row r="370" spans="1:23">
      <c r="A370"/>
      <c r="B370" t="s">
        <v>60</v>
      </c>
      <c r="C370" t="s">
        <v>60</v>
      </c>
      <c r="D370" t="s">
        <v>37</v>
      </c>
      <c r="E370" t="s">
        <v>38</v>
      </c>
      <c r="F370" t="str">
        <f>"0000479"</f>
        <v>0000479</v>
      </c>
      <c r="G370">
        <v>1</v>
      </c>
      <c r="H370" t="str">
        <f>"00000000"</f>
        <v>00000000</v>
      </c>
      <c r="I370" t="s">
        <v>39</v>
      </c>
      <c r="J370"/>
      <c r="K370">
        <v>254.24</v>
      </c>
      <c r="L370">
        <v>0.0</v>
      </c>
      <c r="M370"/>
      <c r="N370"/>
      <c r="O370">
        <v>45.76</v>
      </c>
      <c r="P370">
        <v>0.0</v>
      </c>
      <c r="Q370">
        <v>300.0</v>
      </c>
      <c r="R370"/>
      <c r="S370"/>
      <c r="T370"/>
      <c r="U370"/>
      <c r="V370"/>
      <c r="W370">
        <v>18</v>
      </c>
    </row>
    <row r="371" spans="1:23">
      <c r="A371"/>
      <c r="B371" t="s">
        <v>60</v>
      </c>
      <c r="C371" t="s">
        <v>60</v>
      </c>
      <c r="D371" t="s">
        <v>37</v>
      </c>
      <c r="E371" t="s">
        <v>38</v>
      </c>
      <c r="F371" t="str">
        <f>"0000480"</f>
        <v>0000480</v>
      </c>
      <c r="G371">
        <v>1</v>
      </c>
      <c r="H371" t="str">
        <f>"00000000"</f>
        <v>00000000</v>
      </c>
      <c r="I371" t="s">
        <v>39</v>
      </c>
      <c r="J371"/>
      <c r="K371">
        <v>330.51</v>
      </c>
      <c r="L371">
        <v>0.0</v>
      </c>
      <c r="M371"/>
      <c r="N371"/>
      <c r="O371">
        <v>59.49</v>
      </c>
      <c r="P371">
        <v>0.0</v>
      </c>
      <c r="Q371">
        <v>390.0</v>
      </c>
      <c r="R371"/>
      <c r="S371"/>
      <c r="T371"/>
      <c r="U371"/>
      <c r="V371"/>
      <c r="W371">
        <v>18</v>
      </c>
    </row>
    <row r="372" spans="1:23">
      <c r="A372"/>
      <c r="B372" t="s">
        <v>60</v>
      </c>
      <c r="C372" t="s">
        <v>60</v>
      </c>
      <c r="D372" t="s">
        <v>37</v>
      </c>
      <c r="E372" t="s">
        <v>38</v>
      </c>
      <c r="F372" t="str">
        <f>"0000481"</f>
        <v>0000481</v>
      </c>
      <c r="G372">
        <v>1</v>
      </c>
      <c r="H372" t="str">
        <f>"00000000"</f>
        <v>00000000</v>
      </c>
      <c r="I372" t="s">
        <v>39</v>
      </c>
      <c r="J372"/>
      <c r="K372">
        <v>330.51</v>
      </c>
      <c r="L372">
        <v>0.0</v>
      </c>
      <c r="M372"/>
      <c r="N372"/>
      <c r="O372">
        <v>59.49</v>
      </c>
      <c r="P372">
        <v>0.0</v>
      </c>
      <c r="Q372">
        <v>390.0</v>
      </c>
      <c r="R372"/>
      <c r="S372"/>
      <c r="T372"/>
      <c r="U372"/>
      <c r="V372"/>
      <c r="W372">
        <v>18</v>
      </c>
    </row>
    <row r="373" spans="1:23">
      <c r="A373"/>
      <c r="B373" t="s">
        <v>60</v>
      </c>
      <c r="C373" t="s">
        <v>60</v>
      </c>
      <c r="D373" t="s">
        <v>37</v>
      </c>
      <c r="E373" t="s">
        <v>38</v>
      </c>
      <c r="F373" t="str">
        <f>"0000482"</f>
        <v>0000482</v>
      </c>
      <c r="G373">
        <v>1</v>
      </c>
      <c r="H373" t="str">
        <f>"00000000"</f>
        <v>00000000</v>
      </c>
      <c r="I373" t="s">
        <v>39</v>
      </c>
      <c r="J373"/>
      <c r="K373">
        <v>279.66</v>
      </c>
      <c r="L373">
        <v>0.0</v>
      </c>
      <c r="M373"/>
      <c r="N373"/>
      <c r="O373">
        <v>50.34</v>
      </c>
      <c r="P373">
        <v>0.0</v>
      </c>
      <c r="Q373">
        <v>330.0</v>
      </c>
      <c r="R373"/>
      <c r="S373"/>
      <c r="T373"/>
      <c r="U373"/>
      <c r="V373"/>
      <c r="W373">
        <v>18</v>
      </c>
    </row>
    <row r="374" spans="1:23">
      <c r="A374"/>
      <c r="B374" t="s">
        <v>60</v>
      </c>
      <c r="C374" t="s">
        <v>60</v>
      </c>
      <c r="D374" t="s">
        <v>37</v>
      </c>
      <c r="E374" t="s">
        <v>38</v>
      </c>
      <c r="F374" t="str">
        <f>"0000483"</f>
        <v>0000483</v>
      </c>
      <c r="G374">
        <v>1</v>
      </c>
      <c r="H374" t="str">
        <f>"00000000"</f>
        <v>00000000</v>
      </c>
      <c r="I374" t="s">
        <v>39</v>
      </c>
      <c r="J374"/>
      <c r="K374">
        <v>241.53</v>
      </c>
      <c r="L374">
        <v>0.0</v>
      </c>
      <c r="M374"/>
      <c r="N374"/>
      <c r="O374">
        <v>43.47</v>
      </c>
      <c r="P374">
        <v>0.0</v>
      </c>
      <c r="Q374">
        <v>285.0</v>
      </c>
      <c r="R374"/>
      <c r="S374"/>
      <c r="T374"/>
      <c r="U374"/>
      <c r="V374"/>
      <c r="W374">
        <v>18</v>
      </c>
    </row>
    <row r="375" spans="1:23">
      <c r="A375"/>
      <c r="B375" t="s">
        <v>60</v>
      </c>
      <c r="C375" t="s">
        <v>60</v>
      </c>
      <c r="D375" t="s">
        <v>37</v>
      </c>
      <c r="E375" t="s">
        <v>38</v>
      </c>
      <c r="F375" t="str">
        <f>"0000484"</f>
        <v>0000484</v>
      </c>
      <c r="G375">
        <v>1</v>
      </c>
      <c r="H375" t="str">
        <f>"00000000"</f>
        <v>00000000</v>
      </c>
      <c r="I375" t="s">
        <v>39</v>
      </c>
      <c r="J375"/>
      <c r="K375">
        <v>228.81</v>
      </c>
      <c r="L375">
        <v>0.0</v>
      </c>
      <c r="M375"/>
      <c r="N375"/>
      <c r="O375">
        <v>41.19</v>
      </c>
      <c r="P375">
        <v>0.0</v>
      </c>
      <c r="Q375">
        <v>270.0</v>
      </c>
      <c r="R375"/>
      <c r="S375"/>
      <c r="T375"/>
      <c r="U375"/>
      <c r="V375"/>
      <c r="W375">
        <v>18</v>
      </c>
    </row>
    <row r="376" spans="1:23">
      <c r="A376"/>
      <c r="B376" t="s">
        <v>60</v>
      </c>
      <c r="C376" t="s">
        <v>60</v>
      </c>
      <c r="D376" t="s">
        <v>37</v>
      </c>
      <c r="E376" t="s">
        <v>38</v>
      </c>
      <c r="F376" t="str">
        <f>"0000485"</f>
        <v>0000485</v>
      </c>
      <c r="G376">
        <v>1</v>
      </c>
      <c r="H376" t="str">
        <f>"00000000"</f>
        <v>00000000</v>
      </c>
      <c r="I376" t="s">
        <v>39</v>
      </c>
      <c r="J376"/>
      <c r="K376">
        <v>338.98</v>
      </c>
      <c r="L376">
        <v>0.0</v>
      </c>
      <c r="M376"/>
      <c r="N376"/>
      <c r="O376">
        <v>61.02</v>
      </c>
      <c r="P376">
        <v>0.0</v>
      </c>
      <c r="Q376">
        <v>400.0</v>
      </c>
      <c r="R376"/>
      <c r="S376"/>
      <c r="T376"/>
      <c r="U376"/>
      <c r="V376"/>
      <c r="W376">
        <v>18</v>
      </c>
    </row>
    <row r="377" spans="1:23">
      <c r="A377"/>
      <c r="B377" t="s">
        <v>60</v>
      </c>
      <c r="C377" t="s">
        <v>60</v>
      </c>
      <c r="D377" t="s">
        <v>37</v>
      </c>
      <c r="E377" t="s">
        <v>38</v>
      </c>
      <c r="F377" t="str">
        <f>"0000486"</f>
        <v>0000486</v>
      </c>
      <c r="G377">
        <v>1</v>
      </c>
      <c r="H377" t="str">
        <f>"00000000"</f>
        <v>00000000</v>
      </c>
      <c r="I377" t="s">
        <v>39</v>
      </c>
      <c r="J377"/>
      <c r="K377">
        <v>220.34</v>
      </c>
      <c r="L377">
        <v>0.0</v>
      </c>
      <c r="M377"/>
      <c r="N377"/>
      <c r="O377">
        <v>39.66</v>
      </c>
      <c r="P377">
        <v>0.0</v>
      </c>
      <c r="Q377">
        <v>260.0</v>
      </c>
      <c r="R377"/>
      <c r="S377"/>
      <c r="T377"/>
      <c r="U377"/>
      <c r="V377"/>
      <c r="W377">
        <v>18</v>
      </c>
    </row>
    <row r="378" spans="1:23">
      <c r="A378"/>
      <c r="B378" t="s">
        <v>60</v>
      </c>
      <c r="C378" t="s">
        <v>60</v>
      </c>
      <c r="D378" t="s">
        <v>37</v>
      </c>
      <c r="E378" t="s">
        <v>38</v>
      </c>
      <c r="F378" t="str">
        <f>"0000487"</f>
        <v>0000487</v>
      </c>
      <c r="G378">
        <v>1</v>
      </c>
      <c r="H378" t="str">
        <f>"00000000"</f>
        <v>00000000</v>
      </c>
      <c r="I378" t="s">
        <v>39</v>
      </c>
      <c r="J378"/>
      <c r="K378">
        <v>228.81</v>
      </c>
      <c r="L378">
        <v>0.0</v>
      </c>
      <c r="M378"/>
      <c r="N378"/>
      <c r="O378">
        <v>41.19</v>
      </c>
      <c r="P378">
        <v>0.0</v>
      </c>
      <c r="Q378">
        <v>270.0</v>
      </c>
      <c r="R378"/>
      <c r="S378"/>
      <c r="T378"/>
      <c r="U378"/>
      <c r="V378"/>
      <c r="W378">
        <v>18</v>
      </c>
    </row>
    <row r="379" spans="1:23">
      <c r="A379"/>
      <c r="B379" t="s">
        <v>60</v>
      </c>
      <c r="C379" t="s">
        <v>60</v>
      </c>
      <c r="D379" t="s">
        <v>37</v>
      </c>
      <c r="E379" t="s">
        <v>38</v>
      </c>
      <c r="F379" t="str">
        <f>"0000488"</f>
        <v>0000488</v>
      </c>
      <c r="G379">
        <v>1</v>
      </c>
      <c r="H379" t="str">
        <f>"00000000"</f>
        <v>00000000</v>
      </c>
      <c r="I379" t="s">
        <v>39</v>
      </c>
      <c r="J379"/>
      <c r="K379">
        <v>228.81</v>
      </c>
      <c r="L379">
        <v>0.0</v>
      </c>
      <c r="M379"/>
      <c r="N379"/>
      <c r="O379">
        <v>41.19</v>
      </c>
      <c r="P379">
        <v>0.0</v>
      </c>
      <c r="Q379">
        <v>270.0</v>
      </c>
      <c r="R379"/>
      <c r="S379"/>
      <c r="T379"/>
      <c r="U379"/>
      <c r="V379"/>
      <c r="W379">
        <v>18</v>
      </c>
    </row>
    <row r="380" spans="1:23">
      <c r="A380"/>
      <c r="B380" t="s">
        <v>60</v>
      </c>
      <c r="C380" t="s">
        <v>60</v>
      </c>
      <c r="D380" t="s">
        <v>37</v>
      </c>
      <c r="E380" t="s">
        <v>38</v>
      </c>
      <c r="F380" t="str">
        <f>"0000489"</f>
        <v>0000489</v>
      </c>
      <c r="G380">
        <v>1</v>
      </c>
      <c r="H380" t="str">
        <f>"00000000"</f>
        <v>00000000</v>
      </c>
      <c r="I380" t="s">
        <v>39</v>
      </c>
      <c r="J380"/>
      <c r="K380">
        <v>406.78</v>
      </c>
      <c r="L380">
        <v>0.0</v>
      </c>
      <c r="M380"/>
      <c r="N380"/>
      <c r="O380">
        <v>73.22</v>
      </c>
      <c r="P380">
        <v>0.0</v>
      </c>
      <c r="Q380">
        <v>480.0</v>
      </c>
      <c r="R380"/>
      <c r="S380"/>
      <c r="T380"/>
      <c r="U380"/>
      <c r="V380"/>
      <c r="W380">
        <v>18</v>
      </c>
    </row>
    <row r="381" spans="1:23">
      <c r="A381"/>
      <c r="B381" t="s">
        <v>60</v>
      </c>
      <c r="C381" t="s">
        <v>60</v>
      </c>
      <c r="D381" t="s">
        <v>37</v>
      </c>
      <c r="E381" t="s">
        <v>38</v>
      </c>
      <c r="F381" t="str">
        <f>"0000490"</f>
        <v>0000490</v>
      </c>
      <c r="G381">
        <v>1</v>
      </c>
      <c r="H381" t="str">
        <f>"00000000"</f>
        <v>00000000</v>
      </c>
      <c r="I381" t="s">
        <v>39</v>
      </c>
      <c r="J381"/>
      <c r="K381">
        <v>317.8</v>
      </c>
      <c r="L381">
        <v>0.0</v>
      </c>
      <c r="M381"/>
      <c r="N381"/>
      <c r="O381">
        <v>57.2</v>
      </c>
      <c r="P381">
        <v>0.0</v>
      </c>
      <c r="Q381">
        <v>375.0</v>
      </c>
      <c r="R381"/>
      <c r="S381"/>
      <c r="T381"/>
      <c r="U381"/>
      <c r="V381"/>
      <c r="W381">
        <v>18</v>
      </c>
    </row>
    <row r="382" spans="1:23">
      <c r="A382"/>
      <c r="B382" t="s">
        <v>60</v>
      </c>
      <c r="C382" t="s">
        <v>60</v>
      </c>
      <c r="D382" t="s">
        <v>37</v>
      </c>
      <c r="E382" t="s">
        <v>38</v>
      </c>
      <c r="F382" t="str">
        <f>"0000491"</f>
        <v>0000491</v>
      </c>
      <c r="G382">
        <v>1</v>
      </c>
      <c r="H382" t="str">
        <f>"00000000"</f>
        <v>00000000</v>
      </c>
      <c r="I382" t="s">
        <v>39</v>
      </c>
      <c r="J382"/>
      <c r="K382">
        <v>406.78</v>
      </c>
      <c r="L382">
        <v>0.0</v>
      </c>
      <c r="M382"/>
      <c r="N382"/>
      <c r="O382">
        <v>73.22</v>
      </c>
      <c r="P382">
        <v>0.0</v>
      </c>
      <c r="Q382">
        <v>480.0</v>
      </c>
      <c r="R382"/>
      <c r="S382"/>
      <c r="T382"/>
      <c r="U382"/>
      <c r="V382"/>
      <c r="W382">
        <v>18</v>
      </c>
    </row>
    <row r="383" spans="1:23">
      <c r="A383"/>
      <c r="B383" t="s">
        <v>61</v>
      </c>
      <c r="C383" t="s">
        <v>61</v>
      </c>
      <c r="D383" t="s">
        <v>37</v>
      </c>
      <c r="E383" t="s">
        <v>38</v>
      </c>
      <c r="F383" t="str">
        <f>"0000492"</f>
        <v>0000492</v>
      </c>
      <c r="G383">
        <v>1</v>
      </c>
      <c r="H383" t="str">
        <f>"00000000"</f>
        <v>00000000</v>
      </c>
      <c r="I383" t="s">
        <v>39</v>
      </c>
      <c r="J383"/>
      <c r="K383">
        <v>254.24</v>
      </c>
      <c r="L383">
        <v>0.0</v>
      </c>
      <c r="M383"/>
      <c r="N383"/>
      <c r="O383">
        <v>45.76</v>
      </c>
      <c r="P383">
        <v>0.0</v>
      </c>
      <c r="Q383">
        <v>300.0</v>
      </c>
      <c r="R383"/>
      <c r="S383"/>
      <c r="T383"/>
      <c r="U383"/>
      <c r="V383"/>
      <c r="W383">
        <v>18</v>
      </c>
    </row>
    <row r="384" spans="1:23">
      <c r="A384"/>
      <c r="B384" t="s">
        <v>61</v>
      </c>
      <c r="C384" t="s">
        <v>61</v>
      </c>
      <c r="D384" t="s">
        <v>37</v>
      </c>
      <c r="E384" t="s">
        <v>38</v>
      </c>
      <c r="F384" t="str">
        <f>"0000493"</f>
        <v>0000493</v>
      </c>
      <c r="G384">
        <v>1</v>
      </c>
      <c r="H384" t="str">
        <f>"00000000"</f>
        <v>00000000</v>
      </c>
      <c r="I384" t="s">
        <v>39</v>
      </c>
      <c r="J384"/>
      <c r="K384">
        <v>372.88</v>
      </c>
      <c r="L384">
        <v>0.0</v>
      </c>
      <c r="M384"/>
      <c r="N384"/>
      <c r="O384">
        <v>67.12</v>
      </c>
      <c r="P384">
        <v>0.0</v>
      </c>
      <c r="Q384">
        <v>440.0</v>
      </c>
      <c r="R384"/>
      <c r="S384"/>
      <c r="T384"/>
      <c r="U384"/>
      <c r="V384"/>
      <c r="W384">
        <v>18</v>
      </c>
    </row>
    <row r="385" spans="1:23">
      <c r="A385"/>
      <c r="B385" t="s">
        <v>61</v>
      </c>
      <c r="C385" t="s">
        <v>61</v>
      </c>
      <c r="D385" t="s">
        <v>37</v>
      </c>
      <c r="E385" t="s">
        <v>38</v>
      </c>
      <c r="F385" t="str">
        <f>"0000494"</f>
        <v>0000494</v>
      </c>
      <c r="G385">
        <v>1</v>
      </c>
      <c r="H385" t="str">
        <f>"00000000"</f>
        <v>00000000</v>
      </c>
      <c r="I385" t="s">
        <v>39</v>
      </c>
      <c r="J385"/>
      <c r="K385">
        <v>406.78</v>
      </c>
      <c r="L385">
        <v>0.0</v>
      </c>
      <c r="M385"/>
      <c r="N385"/>
      <c r="O385">
        <v>73.22</v>
      </c>
      <c r="P385">
        <v>0.0</v>
      </c>
      <c r="Q385">
        <v>480.0</v>
      </c>
      <c r="R385"/>
      <c r="S385"/>
      <c r="T385"/>
      <c r="U385"/>
      <c r="V385"/>
      <c r="W385">
        <v>18</v>
      </c>
    </row>
    <row r="386" spans="1:23">
      <c r="A386"/>
      <c r="B386" t="s">
        <v>61</v>
      </c>
      <c r="C386" t="s">
        <v>61</v>
      </c>
      <c r="D386" t="s">
        <v>37</v>
      </c>
      <c r="E386" t="s">
        <v>38</v>
      </c>
      <c r="F386" t="str">
        <f>"0000495"</f>
        <v>0000495</v>
      </c>
      <c r="G386">
        <v>1</v>
      </c>
      <c r="H386" t="str">
        <f>"00000000"</f>
        <v>00000000</v>
      </c>
      <c r="I386" t="s">
        <v>39</v>
      </c>
      <c r="J386"/>
      <c r="K386">
        <v>330.51</v>
      </c>
      <c r="L386">
        <v>0.0</v>
      </c>
      <c r="M386"/>
      <c r="N386"/>
      <c r="O386">
        <v>59.49</v>
      </c>
      <c r="P386">
        <v>0.0</v>
      </c>
      <c r="Q386">
        <v>390.0</v>
      </c>
      <c r="R386"/>
      <c r="S386"/>
      <c r="T386"/>
      <c r="U386"/>
      <c r="V386"/>
      <c r="W386">
        <v>18</v>
      </c>
    </row>
    <row r="387" spans="1:23">
      <c r="A387"/>
      <c r="B387" t="s">
        <v>61</v>
      </c>
      <c r="C387" t="s">
        <v>61</v>
      </c>
      <c r="D387" t="s">
        <v>37</v>
      </c>
      <c r="E387" t="s">
        <v>38</v>
      </c>
      <c r="F387" t="str">
        <f>"0000496"</f>
        <v>0000496</v>
      </c>
      <c r="G387">
        <v>1</v>
      </c>
      <c r="H387" t="str">
        <f>"00000000"</f>
        <v>00000000</v>
      </c>
      <c r="I387" t="s">
        <v>39</v>
      </c>
      <c r="J387"/>
      <c r="K387">
        <v>241.53</v>
      </c>
      <c r="L387">
        <v>0.0</v>
      </c>
      <c r="M387"/>
      <c r="N387"/>
      <c r="O387">
        <v>43.47</v>
      </c>
      <c r="P387">
        <v>0.0</v>
      </c>
      <c r="Q387">
        <v>285.0</v>
      </c>
      <c r="R387"/>
      <c r="S387"/>
      <c r="T387"/>
      <c r="U387"/>
      <c r="V387"/>
      <c r="W387">
        <v>18</v>
      </c>
    </row>
    <row r="388" spans="1:23">
      <c r="A388"/>
      <c r="B388" t="s">
        <v>61</v>
      </c>
      <c r="C388" t="s">
        <v>61</v>
      </c>
      <c r="D388" t="s">
        <v>37</v>
      </c>
      <c r="E388" t="s">
        <v>38</v>
      </c>
      <c r="F388" t="str">
        <f>"0000497"</f>
        <v>0000497</v>
      </c>
      <c r="G388">
        <v>1</v>
      </c>
      <c r="H388" t="str">
        <f>"00000000"</f>
        <v>00000000</v>
      </c>
      <c r="I388" t="s">
        <v>39</v>
      </c>
      <c r="J388"/>
      <c r="K388">
        <v>338.98</v>
      </c>
      <c r="L388">
        <v>0.0</v>
      </c>
      <c r="M388"/>
      <c r="N388"/>
      <c r="O388">
        <v>61.02</v>
      </c>
      <c r="P388">
        <v>0.0</v>
      </c>
      <c r="Q388">
        <v>400.0</v>
      </c>
      <c r="R388"/>
      <c r="S388"/>
      <c r="T388"/>
      <c r="U388"/>
      <c r="V388"/>
      <c r="W388">
        <v>18</v>
      </c>
    </row>
    <row r="389" spans="1:23">
      <c r="A389"/>
      <c r="B389" t="s">
        <v>61</v>
      </c>
      <c r="C389" t="s">
        <v>61</v>
      </c>
      <c r="D389" t="s">
        <v>37</v>
      </c>
      <c r="E389" t="s">
        <v>38</v>
      </c>
      <c r="F389" t="str">
        <f>"0000498"</f>
        <v>0000498</v>
      </c>
      <c r="G389">
        <v>1</v>
      </c>
      <c r="H389" t="str">
        <f>"00000000"</f>
        <v>00000000</v>
      </c>
      <c r="I389" t="s">
        <v>39</v>
      </c>
      <c r="J389"/>
      <c r="K389">
        <v>330.51</v>
      </c>
      <c r="L389">
        <v>0.0</v>
      </c>
      <c r="M389"/>
      <c r="N389"/>
      <c r="O389">
        <v>59.49</v>
      </c>
      <c r="P389">
        <v>0.0</v>
      </c>
      <c r="Q389">
        <v>390.0</v>
      </c>
      <c r="R389"/>
      <c r="S389"/>
      <c r="T389"/>
      <c r="U389"/>
      <c r="V389"/>
      <c r="W389">
        <v>18</v>
      </c>
    </row>
    <row r="390" spans="1:23">
      <c r="A390"/>
      <c r="B390" t="s">
        <v>61</v>
      </c>
      <c r="C390" t="s">
        <v>61</v>
      </c>
      <c r="D390" t="s">
        <v>37</v>
      </c>
      <c r="E390" t="s">
        <v>38</v>
      </c>
      <c r="F390" t="str">
        <f>"0000499"</f>
        <v>0000499</v>
      </c>
      <c r="G390">
        <v>1</v>
      </c>
      <c r="H390" t="str">
        <f>"00000000"</f>
        <v>00000000</v>
      </c>
      <c r="I390" t="s">
        <v>39</v>
      </c>
      <c r="J390"/>
      <c r="K390">
        <v>203.39</v>
      </c>
      <c r="L390">
        <v>0.0</v>
      </c>
      <c r="M390"/>
      <c r="N390"/>
      <c r="O390">
        <v>36.61</v>
      </c>
      <c r="P390">
        <v>0.0</v>
      </c>
      <c r="Q390">
        <v>240.0</v>
      </c>
      <c r="R390"/>
      <c r="S390"/>
      <c r="T390"/>
      <c r="U390"/>
      <c r="V390"/>
      <c r="W390">
        <v>18</v>
      </c>
    </row>
    <row r="391" spans="1:23">
      <c r="A391"/>
      <c r="B391" t="s">
        <v>61</v>
      </c>
      <c r="C391" t="s">
        <v>61</v>
      </c>
      <c r="D391" t="s">
        <v>37</v>
      </c>
      <c r="E391" t="s">
        <v>38</v>
      </c>
      <c r="F391" t="str">
        <f>"0000500"</f>
        <v>0000500</v>
      </c>
      <c r="G391">
        <v>1</v>
      </c>
      <c r="H391" t="str">
        <f>"00000000"</f>
        <v>00000000</v>
      </c>
      <c r="I391" t="s">
        <v>39</v>
      </c>
      <c r="J391"/>
      <c r="K391">
        <v>254.24</v>
      </c>
      <c r="L391">
        <v>0.0</v>
      </c>
      <c r="M391"/>
      <c r="N391"/>
      <c r="O391">
        <v>45.76</v>
      </c>
      <c r="P391">
        <v>0.0</v>
      </c>
      <c r="Q391">
        <v>300.0</v>
      </c>
      <c r="R391"/>
      <c r="S391"/>
      <c r="T391"/>
      <c r="U391"/>
      <c r="V391"/>
      <c r="W391">
        <v>18</v>
      </c>
    </row>
    <row r="392" spans="1:23">
      <c r="A392"/>
      <c r="B392" t="s">
        <v>61</v>
      </c>
      <c r="C392" t="s">
        <v>61</v>
      </c>
      <c r="D392" t="s">
        <v>37</v>
      </c>
      <c r="E392" t="s">
        <v>38</v>
      </c>
      <c r="F392" t="str">
        <f>"0000501"</f>
        <v>0000501</v>
      </c>
      <c r="G392">
        <v>1</v>
      </c>
      <c r="H392" t="str">
        <f>"00000000"</f>
        <v>00000000</v>
      </c>
      <c r="I392" t="s">
        <v>39</v>
      </c>
      <c r="J392"/>
      <c r="K392">
        <v>275.42</v>
      </c>
      <c r="L392">
        <v>0.0</v>
      </c>
      <c r="M392"/>
      <c r="N392"/>
      <c r="O392">
        <v>49.58</v>
      </c>
      <c r="P392">
        <v>0.0</v>
      </c>
      <c r="Q392">
        <v>325.0</v>
      </c>
      <c r="R392"/>
      <c r="S392"/>
      <c r="T392"/>
      <c r="U392"/>
      <c r="V392"/>
      <c r="W392">
        <v>18</v>
      </c>
    </row>
    <row r="393" spans="1:23">
      <c r="A393"/>
      <c r="B393" t="s">
        <v>61</v>
      </c>
      <c r="C393" t="s">
        <v>61</v>
      </c>
      <c r="D393" t="s">
        <v>37</v>
      </c>
      <c r="E393" t="s">
        <v>38</v>
      </c>
      <c r="F393" t="str">
        <f>"0000502"</f>
        <v>0000502</v>
      </c>
      <c r="G393">
        <v>1</v>
      </c>
      <c r="H393" t="str">
        <f>"00000000"</f>
        <v>00000000</v>
      </c>
      <c r="I393" t="s">
        <v>39</v>
      </c>
      <c r="J393"/>
      <c r="K393">
        <v>254.24</v>
      </c>
      <c r="L393">
        <v>0.0</v>
      </c>
      <c r="M393"/>
      <c r="N393"/>
      <c r="O393">
        <v>45.76</v>
      </c>
      <c r="P393">
        <v>0.0</v>
      </c>
      <c r="Q393">
        <v>300.0</v>
      </c>
      <c r="R393"/>
      <c r="S393"/>
      <c r="T393"/>
      <c r="U393"/>
      <c r="V393"/>
      <c r="W393">
        <v>18</v>
      </c>
    </row>
    <row r="394" spans="1:23">
      <c r="A394"/>
      <c r="B394" t="s">
        <v>61</v>
      </c>
      <c r="C394" t="s">
        <v>61</v>
      </c>
      <c r="D394" t="s">
        <v>37</v>
      </c>
      <c r="E394" t="s">
        <v>38</v>
      </c>
      <c r="F394" t="str">
        <f>"0000503"</f>
        <v>0000503</v>
      </c>
      <c r="G394">
        <v>1</v>
      </c>
      <c r="H394" t="str">
        <f>"00000000"</f>
        <v>00000000</v>
      </c>
      <c r="I394" t="s">
        <v>39</v>
      </c>
      <c r="J394"/>
      <c r="K394">
        <v>338.98</v>
      </c>
      <c r="L394">
        <v>0.0</v>
      </c>
      <c r="M394"/>
      <c r="N394"/>
      <c r="O394">
        <v>61.02</v>
      </c>
      <c r="P394">
        <v>0.0</v>
      </c>
      <c r="Q394">
        <v>400.0</v>
      </c>
      <c r="R394"/>
      <c r="S394"/>
      <c r="T394"/>
      <c r="U394"/>
      <c r="V394"/>
      <c r="W394">
        <v>18</v>
      </c>
    </row>
    <row r="395" spans="1:23">
      <c r="A395"/>
      <c r="B395" t="s">
        <v>61</v>
      </c>
      <c r="C395" t="s">
        <v>61</v>
      </c>
      <c r="D395" t="s">
        <v>37</v>
      </c>
      <c r="E395" t="s">
        <v>38</v>
      </c>
      <c r="F395" t="str">
        <f>"0000504"</f>
        <v>0000504</v>
      </c>
      <c r="G395">
        <v>1</v>
      </c>
      <c r="H395" t="str">
        <f>"00000000"</f>
        <v>00000000</v>
      </c>
      <c r="I395" t="s">
        <v>39</v>
      </c>
      <c r="J395"/>
      <c r="K395">
        <v>322.03</v>
      </c>
      <c r="L395">
        <v>0.0</v>
      </c>
      <c r="M395"/>
      <c r="N395"/>
      <c r="O395">
        <v>57.97</v>
      </c>
      <c r="P395">
        <v>0.0</v>
      </c>
      <c r="Q395">
        <v>380.0</v>
      </c>
      <c r="R395"/>
      <c r="S395"/>
      <c r="T395"/>
      <c r="U395"/>
      <c r="V395"/>
      <c r="W395">
        <v>18</v>
      </c>
    </row>
    <row r="396" spans="1:23">
      <c r="A396"/>
      <c r="B396" t="s">
        <v>61</v>
      </c>
      <c r="C396" t="s">
        <v>61</v>
      </c>
      <c r="D396" t="s">
        <v>37</v>
      </c>
      <c r="E396" t="s">
        <v>38</v>
      </c>
      <c r="F396" t="str">
        <f>"0000505"</f>
        <v>0000505</v>
      </c>
      <c r="G396">
        <v>1</v>
      </c>
      <c r="H396" t="str">
        <f>"00000000"</f>
        <v>00000000</v>
      </c>
      <c r="I396" t="s">
        <v>39</v>
      </c>
      <c r="J396"/>
      <c r="K396">
        <v>372.88</v>
      </c>
      <c r="L396">
        <v>0.0</v>
      </c>
      <c r="M396"/>
      <c r="N396"/>
      <c r="O396">
        <v>67.12</v>
      </c>
      <c r="P396">
        <v>0.0</v>
      </c>
      <c r="Q396">
        <v>440.0</v>
      </c>
      <c r="R396"/>
      <c r="S396"/>
      <c r="T396"/>
      <c r="U396"/>
      <c r="V396"/>
      <c r="W396">
        <v>18</v>
      </c>
    </row>
    <row r="397" spans="1:23">
      <c r="A397"/>
      <c r="B397" t="s">
        <v>61</v>
      </c>
      <c r="C397" t="s">
        <v>61</v>
      </c>
      <c r="D397" t="s">
        <v>37</v>
      </c>
      <c r="E397" t="s">
        <v>38</v>
      </c>
      <c r="F397" t="str">
        <f>"0000506"</f>
        <v>0000506</v>
      </c>
      <c r="G397">
        <v>1</v>
      </c>
      <c r="H397" t="str">
        <f>"00000000"</f>
        <v>00000000</v>
      </c>
      <c r="I397" t="s">
        <v>39</v>
      </c>
      <c r="J397"/>
      <c r="K397">
        <v>355.93</v>
      </c>
      <c r="L397">
        <v>0.0</v>
      </c>
      <c r="M397"/>
      <c r="N397"/>
      <c r="O397">
        <v>64.07</v>
      </c>
      <c r="P397">
        <v>0.0</v>
      </c>
      <c r="Q397">
        <v>420.0</v>
      </c>
      <c r="R397"/>
      <c r="S397"/>
      <c r="T397"/>
      <c r="U397"/>
      <c r="V397"/>
      <c r="W397">
        <v>18</v>
      </c>
    </row>
    <row r="398" spans="1:23">
      <c r="A398"/>
      <c r="B398" t="s">
        <v>62</v>
      </c>
      <c r="C398" t="s">
        <v>62</v>
      </c>
      <c r="D398" t="s">
        <v>37</v>
      </c>
      <c r="E398" t="s">
        <v>38</v>
      </c>
      <c r="F398" t="str">
        <f>"0000507"</f>
        <v>0000507</v>
      </c>
      <c r="G398">
        <v>1</v>
      </c>
      <c r="H398" t="str">
        <f>"00000000"</f>
        <v>00000000</v>
      </c>
      <c r="I398" t="s">
        <v>39</v>
      </c>
      <c r="J398"/>
      <c r="K398">
        <v>305.08</v>
      </c>
      <c r="L398">
        <v>0.0</v>
      </c>
      <c r="M398"/>
      <c r="N398"/>
      <c r="O398">
        <v>54.92</v>
      </c>
      <c r="P398">
        <v>0.0</v>
      </c>
      <c r="Q398">
        <v>360.0</v>
      </c>
      <c r="R398"/>
      <c r="S398"/>
      <c r="T398"/>
      <c r="U398"/>
      <c r="V398"/>
      <c r="W398">
        <v>18</v>
      </c>
    </row>
    <row r="399" spans="1:23">
      <c r="A399"/>
      <c r="B399" t="s">
        <v>62</v>
      </c>
      <c r="C399" t="s">
        <v>62</v>
      </c>
      <c r="D399" t="s">
        <v>37</v>
      </c>
      <c r="E399" t="s">
        <v>38</v>
      </c>
      <c r="F399" t="str">
        <f>"0000508"</f>
        <v>0000508</v>
      </c>
      <c r="G399">
        <v>1</v>
      </c>
      <c r="H399" t="str">
        <f>"00000000"</f>
        <v>00000000</v>
      </c>
      <c r="I399" t="s">
        <v>39</v>
      </c>
      <c r="J399"/>
      <c r="K399">
        <v>406.78</v>
      </c>
      <c r="L399">
        <v>0.0</v>
      </c>
      <c r="M399"/>
      <c r="N399"/>
      <c r="O399">
        <v>73.22</v>
      </c>
      <c r="P399">
        <v>0.0</v>
      </c>
      <c r="Q399">
        <v>480.0</v>
      </c>
      <c r="R399"/>
      <c r="S399"/>
      <c r="T399"/>
      <c r="U399"/>
      <c r="V399"/>
      <c r="W399">
        <v>18</v>
      </c>
    </row>
    <row r="400" spans="1:23">
      <c r="A400"/>
      <c r="B400" t="s">
        <v>62</v>
      </c>
      <c r="C400" t="s">
        <v>62</v>
      </c>
      <c r="D400" t="s">
        <v>37</v>
      </c>
      <c r="E400" t="s">
        <v>38</v>
      </c>
      <c r="F400" t="str">
        <f>"0000509"</f>
        <v>0000509</v>
      </c>
      <c r="G400">
        <v>1</v>
      </c>
      <c r="H400" t="str">
        <f>"00000000"</f>
        <v>00000000</v>
      </c>
      <c r="I400" t="s">
        <v>39</v>
      </c>
      <c r="J400"/>
      <c r="K400">
        <v>406.78</v>
      </c>
      <c r="L400">
        <v>0.0</v>
      </c>
      <c r="M400"/>
      <c r="N400"/>
      <c r="O400">
        <v>73.22</v>
      </c>
      <c r="P400">
        <v>0.0</v>
      </c>
      <c r="Q400">
        <v>480.0</v>
      </c>
      <c r="R400"/>
      <c r="S400"/>
      <c r="T400"/>
      <c r="U400"/>
      <c r="V400"/>
      <c r="W400">
        <v>18</v>
      </c>
    </row>
    <row r="401" spans="1:23">
      <c r="A401"/>
      <c r="B401" t="s">
        <v>62</v>
      </c>
      <c r="C401" t="s">
        <v>62</v>
      </c>
      <c r="D401" t="s">
        <v>37</v>
      </c>
      <c r="E401" t="s">
        <v>38</v>
      </c>
      <c r="F401" t="str">
        <f>"0000510"</f>
        <v>0000510</v>
      </c>
      <c r="G401">
        <v>1</v>
      </c>
      <c r="H401" t="str">
        <f>"00000000"</f>
        <v>00000000</v>
      </c>
      <c r="I401" t="s">
        <v>39</v>
      </c>
      <c r="J401"/>
      <c r="K401">
        <v>423.73</v>
      </c>
      <c r="L401">
        <v>0.0</v>
      </c>
      <c r="M401"/>
      <c r="N401"/>
      <c r="O401">
        <v>76.27</v>
      </c>
      <c r="P401">
        <v>0.0</v>
      </c>
      <c r="Q401">
        <v>500.0</v>
      </c>
      <c r="R401"/>
      <c r="S401"/>
      <c r="T401"/>
      <c r="U401"/>
      <c r="V401"/>
      <c r="W401">
        <v>18</v>
      </c>
    </row>
    <row r="402" spans="1:23">
      <c r="A402"/>
      <c r="B402" t="s">
        <v>62</v>
      </c>
      <c r="C402" t="s">
        <v>62</v>
      </c>
      <c r="D402" t="s">
        <v>37</v>
      </c>
      <c r="E402" t="s">
        <v>38</v>
      </c>
      <c r="F402" t="str">
        <f>"0000511"</f>
        <v>0000511</v>
      </c>
      <c r="G402">
        <v>1</v>
      </c>
      <c r="H402" t="str">
        <f>"00000000"</f>
        <v>00000000</v>
      </c>
      <c r="I402" t="s">
        <v>39</v>
      </c>
      <c r="J402"/>
      <c r="K402">
        <v>406.78</v>
      </c>
      <c r="L402">
        <v>0.0</v>
      </c>
      <c r="M402"/>
      <c r="N402"/>
      <c r="O402">
        <v>73.22</v>
      </c>
      <c r="P402">
        <v>0.0</v>
      </c>
      <c r="Q402">
        <v>480.0</v>
      </c>
      <c r="R402"/>
      <c r="S402"/>
      <c r="T402"/>
      <c r="U402"/>
      <c r="V402"/>
      <c r="W402">
        <v>18</v>
      </c>
    </row>
    <row r="403" spans="1:23">
      <c r="A403"/>
      <c r="B403" t="s">
        <v>62</v>
      </c>
      <c r="C403" t="s">
        <v>62</v>
      </c>
      <c r="D403" t="s">
        <v>37</v>
      </c>
      <c r="E403" t="s">
        <v>38</v>
      </c>
      <c r="F403" t="str">
        <f>"0000512"</f>
        <v>0000512</v>
      </c>
      <c r="G403">
        <v>1</v>
      </c>
      <c r="H403" t="str">
        <f>"00000000"</f>
        <v>00000000</v>
      </c>
      <c r="I403" t="s">
        <v>39</v>
      </c>
      <c r="J403"/>
      <c r="K403">
        <v>381.36</v>
      </c>
      <c r="L403">
        <v>0.0</v>
      </c>
      <c r="M403"/>
      <c r="N403"/>
      <c r="O403">
        <v>68.64</v>
      </c>
      <c r="P403">
        <v>0.0</v>
      </c>
      <c r="Q403">
        <v>450.0</v>
      </c>
      <c r="R403"/>
      <c r="S403"/>
      <c r="T403"/>
      <c r="U403"/>
      <c r="V403"/>
      <c r="W403">
        <v>18</v>
      </c>
    </row>
    <row r="404" spans="1:23">
      <c r="A404"/>
      <c r="B404" t="s">
        <v>62</v>
      </c>
      <c r="C404" t="s">
        <v>62</v>
      </c>
      <c r="D404" t="s">
        <v>37</v>
      </c>
      <c r="E404" t="s">
        <v>38</v>
      </c>
      <c r="F404" t="str">
        <f>"0000513"</f>
        <v>0000513</v>
      </c>
      <c r="G404">
        <v>1</v>
      </c>
      <c r="H404" t="str">
        <f>"00000000"</f>
        <v>00000000</v>
      </c>
      <c r="I404" t="s">
        <v>39</v>
      </c>
      <c r="J404"/>
      <c r="K404">
        <v>296.61</v>
      </c>
      <c r="L404">
        <v>0.0</v>
      </c>
      <c r="M404"/>
      <c r="N404"/>
      <c r="O404">
        <v>53.39</v>
      </c>
      <c r="P404">
        <v>0.0</v>
      </c>
      <c r="Q404">
        <v>350.0</v>
      </c>
      <c r="R404"/>
      <c r="S404"/>
      <c r="T404"/>
      <c r="U404"/>
      <c r="V404"/>
      <c r="W404">
        <v>18</v>
      </c>
    </row>
    <row r="405" spans="1:23">
      <c r="A405"/>
      <c r="B405" t="s">
        <v>62</v>
      </c>
      <c r="C405" t="s">
        <v>62</v>
      </c>
      <c r="D405" t="s">
        <v>37</v>
      </c>
      <c r="E405" t="s">
        <v>38</v>
      </c>
      <c r="F405" t="str">
        <f>"0000514"</f>
        <v>0000514</v>
      </c>
      <c r="G405">
        <v>1</v>
      </c>
      <c r="H405" t="str">
        <f>"00000000"</f>
        <v>00000000</v>
      </c>
      <c r="I405" t="s">
        <v>39</v>
      </c>
      <c r="J405"/>
      <c r="K405">
        <v>296.61</v>
      </c>
      <c r="L405">
        <v>0.0</v>
      </c>
      <c r="M405"/>
      <c r="N405"/>
      <c r="O405">
        <v>53.39</v>
      </c>
      <c r="P405">
        <v>0.0</v>
      </c>
      <c r="Q405">
        <v>350.0</v>
      </c>
      <c r="R405"/>
      <c r="S405"/>
      <c r="T405"/>
      <c r="U405"/>
      <c r="V405"/>
      <c r="W405">
        <v>18</v>
      </c>
    </row>
    <row r="406" spans="1:23">
      <c r="A406"/>
      <c r="B406" t="s">
        <v>62</v>
      </c>
      <c r="C406" t="s">
        <v>62</v>
      </c>
      <c r="D406" t="s">
        <v>37</v>
      </c>
      <c r="E406" t="s">
        <v>38</v>
      </c>
      <c r="F406" t="str">
        <f>"0000515"</f>
        <v>0000515</v>
      </c>
      <c r="G406">
        <v>1</v>
      </c>
      <c r="H406" t="str">
        <f>"00000000"</f>
        <v>00000000</v>
      </c>
      <c r="I406" t="s">
        <v>39</v>
      </c>
      <c r="J406"/>
      <c r="K406">
        <v>296.61</v>
      </c>
      <c r="L406">
        <v>0.0</v>
      </c>
      <c r="M406"/>
      <c r="N406"/>
      <c r="O406">
        <v>53.39</v>
      </c>
      <c r="P406">
        <v>0.0</v>
      </c>
      <c r="Q406">
        <v>350.0</v>
      </c>
      <c r="R406"/>
      <c r="S406"/>
      <c r="T406"/>
      <c r="U406"/>
      <c r="V406"/>
      <c r="W406">
        <v>18</v>
      </c>
    </row>
    <row r="407" spans="1:23">
      <c r="A407"/>
      <c r="B407" t="s">
        <v>62</v>
      </c>
      <c r="C407" t="s">
        <v>62</v>
      </c>
      <c r="D407" t="s">
        <v>37</v>
      </c>
      <c r="E407" t="s">
        <v>38</v>
      </c>
      <c r="F407" t="str">
        <f>"0000516"</f>
        <v>0000516</v>
      </c>
      <c r="G407">
        <v>1</v>
      </c>
      <c r="H407" t="str">
        <f>"00000000"</f>
        <v>00000000</v>
      </c>
      <c r="I407" t="s">
        <v>39</v>
      </c>
      <c r="J407"/>
      <c r="K407">
        <v>338.98</v>
      </c>
      <c r="L407">
        <v>0.0</v>
      </c>
      <c r="M407"/>
      <c r="N407"/>
      <c r="O407">
        <v>61.02</v>
      </c>
      <c r="P407">
        <v>0.0</v>
      </c>
      <c r="Q407">
        <v>400.0</v>
      </c>
      <c r="R407"/>
      <c r="S407"/>
      <c r="T407"/>
      <c r="U407"/>
      <c r="V407"/>
      <c r="W407">
        <v>18</v>
      </c>
    </row>
    <row r="408" spans="1:23">
      <c r="A408"/>
      <c r="B408" t="s">
        <v>62</v>
      </c>
      <c r="C408" t="s">
        <v>62</v>
      </c>
      <c r="D408" t="s">
        <v>37</v>
      </c>
      <c r="E408" t="s">
        <v>38</v>
      </c>
      <c r="F408" t="str">
        <f>"0000517"</f>
        <v>0000517</v>
      </c>
      <c r="G408">
        <v>1</v>
      </c>
      <c r="H408" t="str">
        <f>"00000000"</f>
        <v>00000000</v>
      </c>
      <c r="I408" t="s">
        <v>39</v>
      </c>
      <c r="J408"/>
      <c r="K408">
        <v>190.68</v>
      </c>
      <c r="L408">
        <v>0.0</v>
      </c>
      <c r="M408"/>
      <c r="N408"/>
      <c r="O408">
        <v>34.32</v>
      </c>
      <c r="P408">
        <v>0.0</v>
      </c>
      <c r="Q408">
        <v>225.0</v>
      </c>
      <c r="R408"/>
      <c r="S408"/>
      <c r="T408"/>
      <c r="U408"/>
      <c r="V408"/>
      <c r="W408">
        <v>18</v>
      </c>
    </row>
    <row r="409" spans="1:23">
      <c r="A409"/>
      <c r="B409" t="s">
        <v>62</v>
      </c>
      <c r="C409" t="s">
        <v>62</v>
      </c>
      <c r="D409" t="s">
        <v>37</v>
      </c>
      <c r="E409" t="s">
        <v>38</v>
      </c>
      <c r="F409" t="str">
        <f>"0000518"</f>
        <v>0000518</v>
      </c>
      <c r="G409">
        <v>1</v>
      </c>
      <c r="H409" t="str">
        <f>"00000000"</f>
        <v>00000000</v>
      </c>
      <c r="I409" t="s">
        <v>39</v>
      </c>
      <c r="J409"/>
      <c r="K409">
        <v>406.78</v>
      </c>
      <c r="L409">
        <v>0.0</v>
      </c>
      <c r="M409"/>
      <c r="N409"/>
      <c r="O409">
        <v>73.22</v>
      </c>
      <c r="P409">
        <v>0.0</v>
      </c>
      <c r="Q409">
        <v>480.0</v>
      </c>
      <c r="R409"/>
      <c r="S409"/>
      <c r="T409"/>
      <c r="U409"/>
      <c r="V409"/>
      <c r="W409">
        <v>18</v>
      </c>
    </row>
    <row r="410" spans="1:23">
      <c r="A410"/>
      <c r="B410" t="s">
        <v>62</v>
      </c>
      <c r="C410" t="s">
        <v>62</v>
      </c>
      <c r="D410" t="s">
        <v>37</v>
      </c>
      <c r="E410" t="s">
        <v>38</v>
      </c>
      <c r="F410" t="str">
        <f>"0000519"</f>
        <v>0000519</v>
      </c>
      <c r="G410">
        <v>1</v>
      </c>
      <c r="H410" t="str">
        <f>"00000000"</f>
        <v>00000000</v>
      </c>
      <c r="I410" t="s">
        <v>39</v>
      </c>
      <c r="J410"/>
      <c r="K410">
        <v>381.36</v>
      </c>
      <c r="L410">
        <v>0.0</v>
      </c>
      <c r="M410"/>
      <c r="N410"/>
      <c r="O410">
        <v>68.64</v>
      </c>
      <c r="P410">
        <v>0.0</v>
      </c>
      <c r="Q410">
        <v>450.0</v>
      </c>
      <c r="R410"/>
      <c r="S410"/>
      <c r="T410"/>
      <c r="U410"/>
      <c r="V410"/>
      <c r="W410">
        <v>18</v>
      </c>
    </row>
    <row r="411" spans="1:23">
      <c r="A411"/>
      <c r="B411" t="s">
        <v>62</v>
      </c>
      <c r="C411" t="s">
        <v>62</v>
      </c>
      <c r="D411" t="s">
        <v>37</v>
      </c>
      <c r="E411" t="s">
        <v>38</v>
      </c>
      <c r="F411" t="str">
        <f>"0000520"</f>
        <v>0000520</v>
      </c>
      <c r="G411">
        <v>1</v>
      </c>
      <c r="H411" t="str">
        <f>"00000000"</f>
        <v>00000000</v>
      </c>
      <c r="I411" t="s">
        <v>39</v>
      </c>
      <c r="J411"/>
      <c r="K411">
        <v>330.51</v>
      </c>
      <c r="L411">
        <v>0.0</v>
      </c>
      <c r="M411"/>
      <c r="N411"/>
      <c r="O411">
        <v>59.49</v>
      </c>
      <c r="P411">
        <v>0.0</v>
      </c>
      <c r="Q411">
        <v>390.0</v>
      </c>
      <c r="R411"/>
      <c r="S411"/>
      <c r="T411"/>
      <c r="U411"/>
      <c r="V411"/>
      <c r="W411">
        <v>18</v>
      </c>
    </row>
    <row r="412" spans="1:23">
      <c r="A412"/>
      <c r="B412" t="s">
        <v>62</v>
      </c>
      <c r="C412" t="s">
        <v>62</v>
      </c>
      <c r="D412" t="s">
        <v>37</v>
      </c>
      <c r="E412" t="s">
        <v>38</v>
      </c>
      <c r="F412" t="str">
        <f>"0000521"</f>
        <v>0000521</v>
      </c>
      <c r="G412">
        <v>1</v>
      </c>
      <c r="H412" t="str">
        <f>"00000000"</f>
        <v>00000000</v>
      </c>
      <c r="I412" t="s">
        <v>39</v>
      </c>
      <c r="J412"/>
      <c r="K412">
        <v>355.93</v>
      </c>
      <c r="L412">
        <v>0.0</v>
      </c>
      <c r="M412"/>
      <c r="N412"/>
      <c r="O412">
        <v>64.07</v>
      </c>
      <c r="P412">
        <v>0.0</v>
      </c>
      <c r="Q412">
        <v>420.0</v>
      </c>
      <c r="R412"/>
      <c r="S412"/>
      <c r="T412"/>
      <c r="U412"/>
      <c r="V412"/>
      <c r="W412">
        <v>18</v>
      </c>
    </row>
    <row r="413" spans="1:23">
      <c r="A413"/>
      <c r="B413" t="s">
        <v>62</v>
      </c>
      <c r="C413" t="s">
        <v>62</v>
      </c>
      <c r="D413" t="s">
        <v>37</v>
      </c>
      <c r="E413" t="s">
        <v>38</v>
      </c>
      <c r="F413" t="str">
        <f>"0000522"</f>
        <v>0000522</v>
      </c>
      <c r="G413">
        <v>1</v>
      </c>
      <c r="H413" t="str">
        <f>"00000000"</f>
        <v>00000000</v>
      </c>
      <c r="I413" t="s">
        <v>39</v>
      </c>
      <c r="J413"/>
      <c r="K413">
        <v>254.24</v>
      </c>
      <c r="L413">
        <v>0.0</v>
      </c>
      <c r="M413"/>
      <c r="N413"/>
      <c r="O413">
        <v>45.76</v>
      </c>
      <c r="P413">
        <v>0.0</v>
      </c>
      <c r="Q413">
        <v>300.0</v>
      </c>
      <c r="R413"/>
      <c r="S413"/>
      <c r="T413"/>
      <c r="U413"/>
      <c r="V413"/>
      <c r="W413">
        <v>18</v>
      </c>
    </row>
    <row r="414" spans="1:23">
      <c r="A414"/>
      <c r="B414" t="s">
        <v>62</v>
      </c>
      <c r="C414" t="s">
        <v>62</v>
      </c>
      <c r="D414" t="s">
        <v>37</v>
      </c>
      <c r="E414" t="s">
        <v>38</v>
      </c>
      <c r="F414" t="str">
        <f>"0000523"</f>
        <v>0000523</v>
      </c>
      <c r="G414">
        <v>1</v>
      </c>
      <c r="H414" t="str">
        <f>"00000000"</f>
        <v>00000000</v>
      </c>
      <c r="I414" t="s">
        <v>39</v>
      </c>
      <c r="J414"/>
      <c r="K414">
        <v>355.93</v>
      </c>
      <c r="L414">
        <v>0.0</v>
      </c>
      <c r="M414"/>
      <c r="N414"/>
      <c r="O414">
        <v>64.07</v>
      </c>
      <c r="P414">
        <v>0.0</v>
      </c>
      <c r="Q414">
        <v>420.0</v>
      </c>
      <c r="R414"/>
      <c r="S414"/>
      <c r="T414"/>
      <c r="U414"/>
      <c r="V414"/>
      <c r="W414">
        <v>18</v>
      </c>
    </row>
    <row r="415" spans="1:23">
      <c r="A415"/>
      <c r="B415" t="s">
        <v>62</v>
      </c>
      <c r="C415" t="s">
        <v>62</v>
      </c>
      <c r="D415" t="s">
        <v>37</v>
      </c>
      <c r="E415" t="s">
        <v>38</v>
      </c>
      <c r="F415" t="str">
        <f>"0000524"</f>
        <v>0000524</v>
      </c>
      <c r="G415">
        <v>1</v>
      </c>
      <c r="H415" t="str">
        <f>"00000000"</f>
        <v>00000000</v>
      </c>
      <c r="I415" t="s">
        <v>39</v>
      </c>
      <c r="J415"/>
      <c r="K415">
        <v>186.44</v>
      </c>
      <c r="L415">
        <v>0.0</v>
      </c>
      <c r="M415"/>
      <c r="N415"/>
      <c r="O415">
        <v>33.56</v>
      </c>
      <c r="P415">
        <v>0.0</v>
      </c>
      <c r="Q415">
        <v>220.0</v>
      </c>
      <c r="R415"/>
      <c r="S415"/>
      <c r="T415"/>
      <c r="U415"/>
      <c r="V415"/>
      <c r="W415">
        <v>18</v>
      </c>
    </row>
    <row r="416" spans="1:23">
      <c r="A416"/>
      <c r="B416" t="s">
        <v>62</v>
      </c>
      <c r="C416" t="s">
        <v>62</v>
      </c>
      <c r="D416" t="s">
        <v>37</v>
      </c>
      <c r="E416" t="s">
        <v>38</v>
      </c>
      <c r="F416" t="str">
        <f>"0000525"</f>
        <v>0000525</v>
      </c>
      <c r="G416">
        <v>1</v>
      </c>
      <c r="H416" t="str">
        <f>"00000000"</f>
        <v>00000000</v>
      </c>
      <c r="I416" t="s">
        <v>39</v>
      </c>
      <c r="J416"/>
      <c r="K416">
        <v>305.08</v>
      </c>
      <c r="L416">
        <v>0.0</v>
      </c>
      <c r="M416"/>
      <c r="N416"/>
      <c r="O416">
        <v>54.92</v>
      </c>
      <c r="P416">
        <v>0.0</v>
      </c>
      <c r="Q416">
        <v>360.0</v>
      </c>
      <c r="R416"/>
      <c r="S416"/>
      <c r="T416"/>
      <c r="U416"/>
      <c r="V416"/>
      <c r="W416">
        <v>18</v>
      </c>
    </row>
    <row r="417" spans="1:23">
      <c r="A417"/>
      <c r="B417" t="s">
        <v>62</v>
      </c>
      <c r="C417" t="s">
        <v>62</v>
      </c>
      <c r="D417" t="s">
        <v>37</v>
      </c>
      <c r="E417" t="s">
        <v>38</v>
      </c>
      <c r="F417" t="str">
        <f>"0000526"</f>
        <v>0000526</v>
      </c>
      <c r="G417">
        <v>1</v>
      </c>
      <c r="H417" t="str">
        <f>"00000000"</f>
        <v>00000000</v>
      </c>
      <c r="I417" t="s">
        <v>39</v>
      </c>
      <c r="J417"/>
      <c r="K417">
        <v>338.98</v>
      </c>
      <c r="L417">
        <v>0.0</v>
      </c>
      <c r="M417"/>
      <c r="N417"/>
      <c r="O417">
        <v>61.02</v>
      </c>
      <c r="P417">
        <v>0.0</v>
      </c>
      <c r="Q417">
        <v>400.0</v>
      </c>
      <c r="R417"/>
      <c r="S417"/>
      <c r="T417"/>
      <c r="U417"/>
      <c r="V417"/>
      <c r="W417">
        <v>18</v>
      </c>
    </row>
    <row r="418" spans="1:23">
      <c r="A418"/>
      <c r="B418" t="s">
        <v>62</v>
      </c>
      <c r="C418" t="s">
        <v>62</v>
      </c>
      <c r="D418" t="s">
        <v>37</v>
      </c>
      <c r="E418" t="s">
        <v>38</v>
      </c>
      <c r="F418" t="str">
        <f>"0000527"</f>
        <v>0000527</v>
      </c>
      <c r="G418">
        <v>1</v>
      </c>
      <c r="H418" t="str">
        <f>"00000000"</f>
        <v>00000000</v>
      </c>
      <c r="I418" t="s">
        <v>39</v>
      </c>
      <c r="J418"/>
      <c r="K418">
        <v>296.61</v>
      </c>
      <c r="L418">
        <v>0.0</v>
      </c>
      <c r="M418"/>
      <c r="N418"/>
      <c r="O418">
        <v>53.39</v>
      </c>
      <c r="P418">
        <v>0.0</v>
      </c>
      <c r="Q418">
        <v>350.0</v>
      </c>
      <c r="R418"/>
      <c r="S418"/>
      <c r="T418"/>
      <c r="U418"/>
      <c r="V418"/>
      <c r="W418">
        <v>18</v>
      </c>
    </row>
    <row r="419" spans="1:23">
      <c r="A419"/>
      <c r="B419" t="s">
        <v>62</v>
      </c>
      <c r="C419" t="s">
        <v>62</v>
      </c>
      <c r="D419" t="s">
        <v>37</v>
      </c>
      <c r="E419" t="s">
        <v>38</v>
      </c>
      <c r="F419" t="str">
        <f>"0000528"</f>
        <v>0000528</v>
      </c>
      <c r="G419">
        <v>1</v>
      </c>
      <c r="H419" t="str">
        <f>"00000000"</f>
        <v>00000000</v>
      </c>
      <c r="I419" t="s">
        <v>39</v>
      </c>
      <c r="J419"/>
      <c r="K419">
        <v>254.24</v>
      </c>
      <c r="L419">
        <v>0.0</v>
      </c>
      <c r="M419"/>
      <c r="N419"/>
      <c r="O419">
        <v>45.76</v>
      </c>
      <c r="P419">
        <v>0.0</v>
      </c>
      <c r="Q419">
        <v>300.0</v>
      </c>
      <c r="R419"/>
      <c r="S419"/>
      <c r="T419"/>
      <c r="U419"/>
      <c r="V419"/>
      <c r="W419">
        <v>18</v>
      </c>
    </row>
    <row r="420" spans="1:23">
      <c r="A420"/>
      <c r="B420" t="s">
        <v>62</v>
      </c>
      <c r="C420" t="s">
        <v>62</v>
      </c>
      <c r="D420" t="s">
        <v>37</v>
      </c>
      <c r="E420" t="s">
        <v>38</v>
      </c>
      <c r="F420" t="str">
        <f>"0000529"</f>
        <v>0000529</v>
      </c>
      <c r="G420">
        <v>1</v>
      </c>
      <c r="H420" t="str">
        <f>"00000000"</f>
        <v>00000000</v>
      </c>
      <c r="I420" t="s">
        <v>39</v>
      </c>
      <c r="J420"/>
      <c r="K420">
        <v>423.73</v>
      </c>
      <c r="L420">
        <v>0.0</v>
      </c>
      <c r="M420"/>
      <c r="N420"/>
      <c r="O420">
        <v>76.27</v>
      </c>
      <c r="P420">
        <v>0.0</v>
      </c>
      <c r="Q420">
        <v>500.0</v>
      </c>
      <c r="R420"/>
      <c r="S420"/>
      <c r="T420"/>
      <c r="U420"/>
      <c r="V420"/>
      <c r="W420">
        <v>18</v>
      </c>
    </row>
    <row r="421" spans="1:23">
      <c r="A421"/>
      <c r="B421" t="s">
        <v>62</v>
      </c>
      <c r="C421" t="s">
        <v>62</v>
      </c>
      <c r="D421" t="s">
        <v>37</v>
      </c>
      <c r="E421" t="s">
        <v>38</v>
      </c>
      <c r="F421" t="str">
        <f>"0000530"</f>
        <v>0000530</v>
      </c>
      <c r="G421">
        <v>1</v>
      </c>
      <c r="H421" t="str">
        <f>"00000000"</f>
        <v>00000000</v>
      </c>
      <c r="I421" t="s">
        <v>39</v>
      </c>
      <c r="J421"/>
      <c r="K421">
        <v>423.73</v>
      </c>
      <c r="L421">
        <v>0.0</v>
      </c>
      <c r="M421"/>
      <c r="N421"/>
      <c r="O421">
        <v>76.27</v>
      </c>
      <c r="P421">
        <v>0.0</v>
      </c>
      <c r="Q421">
        <v>500.0</v>
      </c>
      <c r="R421"/>
      <c r="S421"/>
      <c r="T421"/>
      <c r="U421"/>
      <c r="V421"/>
      <c r="W421">
        <v>18</v>
      </c>
    </row>
    <row r="422" spans="1:23">
      <c r="A422"/>
      <c r="B422" t="s">
        <v>62</v>
      </c>
      <c r="C422" t="s">
        <v>62</v>
      </c>
      <c r="D422" t="s">
        <v>37</v>
      </c>
      <c r="E422" t="s">
        <v>38</v>
      </c>
      <c r="F422" t="str">
        <f>"0000531"</f>
        <v>0000531</v>
      </c>
      <c r="G422">
        <v>1</v>
      </c>
      <c r="H422" t="str">
        <f>"00000000"</f>
        <v>00000000</v>
      </c>
      <c r="I422" t="s">
        <v>39</v>
      </c>
      <c r="J422"/>
      <c r="K422">
        <v>381.36</v>
      </c>
      <c r="L422">
        <v>0.0</v>
      </c>
      <c r="M422"/>
      <c r="N422"/>
      <c r="O422">
        <v>68.64</v>
      </c>
      <c r="P422">
        <v>0.0</v>
      </c>
      <c r="Q422">
        <v>450.0</v>
      </c>
      <c r="R422"/>
      <c r="S422"/>
      <c r="T422"/>
      <c r="U422"/>
      <c r="V422"/>
      <c r="W422">
        <v>18</v>
      </c>
    </row>
    <row r="423" spans="1:23">
      <c r="A423"/>
      <c r="B423" t="s">
        <v>62</v>
      </c>
      <c r="C423" t="s">
        <v>62</v>
      </c>
      <c r="D423" t="s">
        <v>37</v>
      </c>
      <c r="E423" t="s">
        <v>38</v>
      </c>
      <c r="F423" t="str">
        <f>"0000532"</f>
        <v>0000532</v>
      </c>
      <c r="G423">
        <v>1</v>
      </c>
      <c r="H423" t="str">
        <f>"00000000"</f>
        <v>00000000</v>
      </c>
      <c r="I423" t="s">
        <v>39</v>
      </c>
      <c r="J423"/>
      <c r="K423">
        <v>296.61</v>
      </c>
      <c r="L423">
        <v>0.0</v>
      </c>
      <c r="M423"/>
      <c r="N423"/>
      <c r="O423">
        <v>53.39</v>
      </c>
      <c r="P423">
        <v>0.0</v>
      </c>
      <c r="Q423">
        <v>350.0</v>
      </c>
      <c r="R423"/>
      <c r="S423"/>
      <c r="T423"/>
      <c r="U423"/>
      <c r="V423"/>
      <c r="W423">
        <v>18</v>
      </c>
    </row>
    <row r="424" spans="1:23">
      <c r="A424"/>
      <c r="B424" t="s">
        <v>62</v>
      </c>
      <c r="C424" t="s">
        <v>62</v>
      </c>
      <c r="D424" t="s">
        <v>37</v>
      </c>
      <c r="E424" t="s">
        <v>38</v>
      </c>
      <c r="F424" t="str">
        <f>"0000533"</f>
        <v>0000533</v>
      </c>
      <c r="G424">
        <v>1</v>
      </c>
      <c r="H424" t="str">
        <f>"00000000"</f>
        <v>00000000</v>
      </c>
      <c r="I424" t="s">
        <v>39</v>
      </c>
      <c r="J424"/>
      <c r="K424">
        <v>317.8</v>
      </c>
      <c r="L424">
        <v>0.0</v>
      </c>
      <c r="M424"/>
      <c r="N424"/>
      <c r="O424">
        <v>57.2</v>
      </c>
      <c r="P424">
        <v>0.0</v>
      </c>
      <c r="Q424">
        <v>375.0</v>
      </c>
      <c r="R424"/>
      <c r="S424"/>
      <c r="T424"/>
      <c r="U424"/>
      <c r="V424"/>
      <c r="W424">
        <v>18</v>
      </c>
    </row>
    <row r="425" spans="1:23">
      <c r="A425"/>
      <c r="B425" t="s">
        <v>62</v>
      </c>
      <c r="C425" t="s">
        <v>62</v>
      </c>
      <c r="D425" t="s">
        <v>37</v>
      </c>
      <c r="E425" t="s">
        <v>38</v>
      </c>
      <c r="F425" t="str">
        <f>"0000534"</f>
        <v>0000534</v>
      </c>
      <c r="G425">
        <v>1</v>
      </c>
      <c r="H425" t="str">
        <f>"00000000"</f>
        <v>00000000</v>
      </c>
      <c r="I425" t="s">
        <v>39</v>
      </c>
      <c r="J425"/>
      <c r="K425">
        <v>338.98</v>
      </c>
      <c r="L425">
        <v>0.0</v>
      </c>
      <c r="M425"/>
      <c r="N425"/>
      <c r="O425">
        <v>61.02</v>
      </c>
      <c r="P425">
        <v>0.0</v>
      </c>
      <c r="Q425">
        <v>400.0</v>
      </c>
      <c r="R425"/>
      <c r="S425"/>
      <c r="T425"/>
      <c r="U425"/>
      <c r="V425"/>
      <c r="W425">
        <v>18</v>
      </c>
    </row>
    <row r="426" spans="1:23">
      <c r="A426"/>
      <c r="B426" t="s">
        <v>62</v>
      </c>
      <c r="C426" t="s">
        <v>62</v>
      </c>
      <c r="D426" t="s">
        <v>37</v>
      </c>
      <c r="E426" t="s">
        <v>38</v>
      </c>
      <c r="F426" t="str">
        <f>"0000535"</f>
        <v>0000535</v>
      </c>
      <c r="G426">
        <v>1</v>
      </c>
      <c r="H426" t="str">
        <f>"00000000"</f>
        <v>00000000</v>
      </c>
      <c r="I426" t="s">
        <v>39</v>
      </c>
      <c r="J426"/>
      <c r="K426">
        <v>305.08</v>
      </c>
      <c r="L426">
        <v>0.0</v>
      </c>
      <c r="M426"/>
      <c r="N426"/>
      <c r="O426">
        <v>54.92</v>
      </c>
      <c r="P426">
        <v>0.0</v>
      </c>
      <c r="Q426">
        <v>360.0</v>
      </c>
      <c r="R426"/>
      <c r="S426"/>
      <c r="T426"/>
      <c r="U426"/>
      <c r="V426"/>
      <c r="W426">
        <v>18</v>
      </c>
    </row>
    <row r="427" spans="1:23">
      <c r="A427"/>
      <c r="B427" t="s">
        <v>62</v>
      </c>
      <c r="C427" t="s">
        <v>62</v>
      </c>
      <c r="D427" t="s">
        <v>37</v>
      </c>
      <c r="E427" t="s">
        <v>38</v>
      </c>
      <c r="F427" t="str">
        <f>"0000536"</f>
        <v>0000536</v>
      </c>
      <c r="G427">
        <v>1</v>
      </c>
      <c r="H427" t="str">
        <f>"00000000"</f>
        <v>00000000</v>
      </c>
      <c r="I427" t="s">
        <v>39</v>
      </c>
      <c r="J427"/>
      <c r="K427">
        <v>338.98</v>
      </c>
      <c r="L427">
        <v>0.0</v>
      </c>
      <c r="M427"/>
      <c r="N427"/>
      <c r="O427">
        <v>61.02</v>
      </c>
      <c r="P427">
        <v>0.0</v>
      </c>
      <c r="Q427">
        <v>400.0</v>
      </c>
      <c r="R427"/>
      <c r="S427"/>
      <c r="T427"/>
      <c r="U427"/>
      <c r="V427"/>
      <c r="W427">
        <v>18</v>
      </c>
    </row>
    <row r="428" spans="1:23">
      <c r="A428"/>
      <c r="B428" t="s">
        <v>62</v>
      </c>
      <c r="C428" t="s">
        <v>62</v>
      </c>
      <c r="D428" t="s">
        <v>37</v>
      </c>
      <c r="E428" t="s">
        <v>38</v>
      </c>
      <c r="F428" t="str">
        <f>"0000537"</f>
        <v>0000537</v>
      </c>
      <c r="G428">
        <v>1</v>
      </c>
      <c r="H428" t="str">
        <f>"00000000"</f>
        <v>00000000</v>
      </c>
      <c r="I428" t="s">
        <v>39</v>
      </c>
      <c r="J428"/>
      <c r="K428">
        <v>381.36</v>
      </c>
      <c r="L428">
        <v>0.0</v>
      </c>
      <c r="M428"/>
      <c r="N428"/>
      <c r="O428">
        <v>68.64</v>
      </c>
      <c r="P428">
        <v>0.0</v>
      </c>
      <c r="Q428">
        <v>450.0</v>
      </c>
      <c r="R428"/>
      <c r="S428"/>
      <c r="T428"/>
      <c r="U428"/>
      <c r="V428"/>
      <c r="W428">
        <v>18</v>
      </c>
    </row>
    <row r="429" spans="1:23">
      <c r="A429"/>
      <c r="B429" t="s">
        <v>62</v>
      </c>
      <c r="C429" t="s">
        <v>62</v>
      </c>
      <c r="D429" t="s">
        <v>37</v>
      </c>
      <c r="E429" t="s">
        <v>38</v>
      </c>
      <c r="F429" t="str">
        <f>"0000538"</f>
        <v>0000538</v>
      </c>
      <c r="G429">
        <v>1</v>
      </c>
      <c r="H429" t="str">
        <f>"00000000"</f>
        <v>00000000</v>
      </c>
      <c r="I429" t="s">
        <v>39</v>
      </c>
      <c r="J429"/>
      <c r="K429">
        <v>338.98</v>
      </c>
      <c r="L429">
        <v>0.0</v>
      </c>
      <c r="M429"/>
      <c r="N429"/>
      <c r="O429">
        <v>61.02</v>
      </c>
      <c r="P429">
        <v>0.0</v>
      </c>
      <c r="Q429">
        <v>400.0</v>
      </c>
      <c r="R429"/>
      <c r="S429"/>
      <c r="T429"/>
      <c r="U429"/>
      <c r="V429"/>
      <c r="W429">
        <v>18</v>
      </c>
    </row>
    <row r="430" spans="1:23">
      <c r="A430"/>
      <c r="B430" t="s">
        <v>62</v>
      </c>
      <c r="C430" t="s">
        <v>62</v>
      </c>
      <c r="D430" t="s">
        <v>37</v>
      </c>
      <c r="E430" t="s">
        <v>38</v>
      </c>
      <c r="F430" t="str">
        <f>"0000539"</f>
        <v>0000539</v>
      </c>
      <c r="G430">
        <v>1</v>
      </c>
      <c r="H430" t="str">
        <f>"00000000"</f>
        <v>00000000</v>
      </c>
      <c r="I430" t="s">
        <v>39</v>
      </c>
      <c r="J430"/>
      <c r="K430">
        <v>423.73</v>
      </c>
      <c r="L430">
        <v>0.0</v>
      </c>
      <c r="M430"/>
      <c r="N430"/>
      <c r="O430">
        <v>76.27</v>
      </c>
      <c r="P430">
        <v>0.0</v>
      </c>
      <c r="Q430">
        <v>500.0</v>
      </c>
      <c r="R430"/>
      <c r="S430"/>
      <c r="T430"/>
      <c r="U430"/>
      <c r="V430"/>
      <c r="W430">
        <v>18</v>
      </c>
    </row>
    <row r="431" spans="1:23">
      <c r="A431"/>
      <c r="B431" t="s">
        <v>62</v>
      </c>
      <c r="C431" t="s">
        <v>62</v>
      </c>
      <c r="D431" t="s">
        <v>37</v>
      </c>
      <c r="E431" t="s">
        <v>38</v>
      </c>
      <c r="F431" t="str">
        <f>"0000540"</f>
        <v>0000540</v>
      </c>
      <c r="G431">
        <v>1</v>
      </c>
      <c r="H431" t="str">
        <f>"00000000"</f>
        <v>00000000</v>
      </c>
      <c r="I431" t="s">
        <v>39</v>
      </c>
      <c r="J431"/>
      <c r="K431">
        <v>296.61</v>
      </c>
      <c r="L431">
        <v>0.0</v>
      </c>
      <c r="M431"/>
      <c r="N431"/>
      <c r="O431">
        <v>53.39</v>
      </c>
      <c r="P431">
        <v>0.0</v>
      </c>
      <c r="Q431">
        <v>350.0</v>
      </c>
      <c r="R431"/>
      <c r="S431"/>
      <c r="T431"/>
      <c r="U431"/>
      <c r="V431"/>
      <c r="W431">
        <v>18</v>
      </c>
    </row>
    <row r="432" spans="1:23">
      <c r="A432"/>
      <c r="B432" t="s">
        <v>62</v>
      </c>
      <c r="C432" t="s">
        <v>62</v>
      </c>
      <c r="D432" t="s">
        <v>37</v>
      </c>
      <c r="E432" t="s">
        <v>38</v>
      </c>
      <c r="F432" t="str">
        <f>"0000541"</f>
        <v>0000541</v>
      </c>
      <c r="G432">
        <v>1</v>
      </c>
      <c r="H432" t="str">
        <f>"00000000"</f>
        <v>00000000</v>
      </c>
      <c r="I432" t="s">
        <v>39</v>
      </c>
      <c r="J432"/>
      <c r="K432">
        <v>372.88</v>
      </c>
      <c r="L432">
        <v>0.0</v>
      </c>
      <c r="M432"/>
      <c r="N432"/>
      <c r="O432">
        <v>67.12</v>
      </c>
      <c r="P432">
        <v>0.0</v>
      </c>
      <c r="Q432">
        <v>440.0</v>
      </c>
      <c r="R432"/>
      <c r="S432"/>
      <c r="T432"/>
      <c r="U432"/>
      <c r="V432"/>
      <c r="W432">
        <v>18</v>
      </c>
    </row>
    <row r="433" spans="1:23">
      <c r="A433"/>
      <c r="B433" t="s">
        <v>62</v>
      </c>
      <c r="C433" t="s">
        <v>62</v>
      </c>
      <c r="D433" t="s">
        <v>37</v>
      </c>
      <c r="E433" t="s">
        <v>38</v>
      </c>
      <c r="F433" t="str">
        <f>"0000542"</f>
        <v>0000542</v>
      </c>
      <c r="G433">
        <v>1</v>
      </c>
      <c r="H433" t="str">
        <f>"00000000"</f>
        <v>00000000</v>
      </c>
      <c r="I433" t="s">
        <v>39</v>
      </c>
      <c r="J433"/>
      <c r="K433">
        <v>305.08</v>
      </c>
      <c r="L433">
        <v>0.0</v>
      </c>
      <c r="M433"/>
      <c r="N433"/>
      <c r="O433">
        <v>54.92</v>
      </c>
      <c r="P433">
        <v>0.0</v>
      </c>
      <c r="Q433">
        <v>360.0</v>
      </c>
      <c r="R433"/>
      <c r="S433"/>
      <c r="T433"/>
      <c r="U433"/>
      <c r="V433"/>
      <c r="W433">
        <v>18</v>
      </c>
    </row>
    <row r="434" spans="1:23">
      <c r="A434"/>
      <c r="B434" t="s">
        <v>62</v>
      </c>
      <c r="C434" t="s">
        <v>62</v>
      </c>
      <c r="D434" t="s">
        <v>37</v>
      </c>
      <c r="E434" t="s">
        <v>38</v>
      </c>
      <c r="F434" t="str">
        <f>"0000543"</f>
        <v>0000543</v>
      </c>
      <c r="G434">
        <v>1</v>
      </c>
      <c r="H434" t="str">
        <f>"00000000"</f>
        <v>00000000</v>
      </c>
      <c r="I434" t="s">
        <v>39</v>
      </c>
      <c r="J434"/>
      <c r="K434">
        <v>355.93</v>
      </c>
      <c r="L434">
        <v>0.0</v>
      </c>
      <c r="M434"/>
      <c r="N434"/>
      <c r="O434">
        <v>64.07</v>
      </c>
      <c r="P434">
        <v>0.0</v>
      </c>
      <c r="Q434">
        <v>420.0</v>
      </c>
      <c r="R434"/>
      <c r="S434"/>
      <c r="T434"/>
      <c r="U434"/>
      <c r="V434"/>
      <c r="W434">
        <v>18</v>
      </c>
    </row>
    <row r="435" spans="1:23">
      <c r="A435"/>
      <c r="B435" t="s">
        <v>62</v>
      </c>
      <c r="C435" t="s">
        <v>62</v>
      </c>
      <c r="D435" t="s">
        <v>37</v>
      </c>
      <c r="E435" t="s">
        <v>38</v>
      </c>
      <c r="F435" t="str">
        <f>"0000544"</f>
        <v>0000544</v>
      </c>
      <c r="G435">
        <v>1</v>
      </c>
      <c r="H435" t="str">
        <f>"00000000"</f>
        <v>00000000</v>
      </c>
      <c r="I435" t="s">
        <v>39</v>
      </c>
      <c r="J435"/>
      <c r="K435">
        <v>305.08</v>
      </c>
      <c r="L435">
        <v>0.0</v>
      </c>
      <c r="M435"/>
      <c r="N435"/>
      <c r="O435">
        <v>54.92</v>
      </c>
      <c r="P435">
        <v>0.0</v>
      </c>
      <c r="Q435">
        <v>360.0</v>
      </c>
      <c r="R435"/>
      <c r="S435"/>
      <c r="T435"/>
      <c r="U435"/>
      <c r="V435"/>
      <c r="W435">
        <v>18</v>
      </c>
    </row>
    <row r="436" spans="1:23">
      <c r="A436"/>
      <c r="B436" t="s">
        <v>62</v>
      </c>
      <c r="C436" t="s">
        <v>62</v>
      </c>
      <c r="D436" t="s">
        <v>37</v>
      </c>
      <c r="E436" t="s">
        <v>38</v>
      </c>
      <c r="F436" t="str">
        <f>"0000545"</f>
        <v>0000545</v>
      </c>
      <c r="G436">
        <v>1</v>
      </c>
      <c r="H436" t="str">
        <f>"00000000"</f>
        <v>00000000</v>
      </c>
      <c r="I436" t="s">
        <v>39</v>
      </c>
      <c r="J436"/>
      <c r="K436">
        <v>372.88</v>
      </c>
      <c r="L436">
        <v>0.0</v>
      </c>
      <c r="M436"/>
      <c r="N436"/>
      <c r="O436">
        <v>67.12</v>
      </c>
      <c r="P436">
        <v>0.0</v>
      </c>
      <c r="Q436">
        <v>440.0</v>
      </c>
      <c r="R436"/>
      <c r="S436"/>
      <c r="T436"/>
      <c r="U436"/>
      <c r="V436"/>
      <c r="W436">
        <v>18</v>
      </c>
    </row>
    <row r="437" spans="1:23">
      <c r="A437"/>
      <c r="B437" t="s">
        <v>62</v>
      </c>
      <c r="C437" t="s">
        <v>62</v>
      </c>
      <c r="D437" t="s">
        <v>37</v>
      </c>
      <c r="E437" t="s">
        <v>38</v>
      </c>
      <c r="F437" t="str">
        <f>"0000546"</f>
        <v>0000546</v>
      </c>
      <c r="G437">
        <v>1</v>
      </c>
      <c r="H437" t="str">
        <f>"00000000"</f>
        <v>00000000</v>
      </c>
      <c r="I437" t="s">
        <v>39</v>
      </c>
      <c r="J437"/>
      <c r="K437">
        <v>406.78</v>
      </c>
      <c r="L437">
        <v>0.0</v>
      </c>
      <c r="M437"/>
      <c r="N437"/>
      <c r="O437">
        <v>73.22</v>
      </c>
      <c r="P437">
        <v>0.0</v>
      </c>
      <c r="Q437">
        <v>480.0</v>
      </c>
      <c r="R437"/>
      <c r="S437"/>
      <c r="T437"/>
      <c r="U437"/>
      <c r="V437"/>
      <c r="W437">
        <v>18</v>
      </c>
    </row>
    <row r="438" spans="1:23">
      <c r="A438"/>
      <c r="B438" t="s">
        <v>62</v>
      </c>
      <c r="C438" t="s">
        <v>62</v>
      </c>
      <c r="D438" t="s">
        <v>37</v>
      </c>
      <c r="E438" t="s">
        <v>38</v>
      </c>
      <c r="F438" t="str">
        <f>"0000547"</f>
        <v>0000547</v>
      </c>
      <c r="G438">
        <v>1</v>
      </c>
      <c r="H438" t="str">
        <f>"00000000"</f>
        <v>00000000</v>
      </c>
      <c r="I438" t="s">
        <v>39</v>
      </c>
      <c r="J438"/>
      <c r="K438">
        <v>254.24</v>
      </c>
      <c r="L438">
        <v>0.0</v>
      </c>
      <c r="M438"/>
      <c r="N438"/>
      <c r="O438">
        <v>45.76</v>
      </c>
      <c r="P438">
        <v>0.0</v>
      </c>
      <c r="Q438">
        <v>300.0</v>
      </c>
      <c r="R438"/>
      <c r="S438"/>
      <c r="T438"/>
      <c r="U438"/>
      <c r="V438"/>
      <c r="W438">
        <v>18</v>
      </c>
    </row>
    <row r="439" spans="1:23">
      <c r="A439"/>
      <c r="B439" t="s">
        <v>62</v>
      </c>
      <c r="C439" t="s">
        <v>62</v>
      </c>
      <c r="D439" t="s">
        <v>37</v>
      </c>
      <c r="E439" t="s">
        <v>38</v>
      </c>
      <c r="F439" t="str">
        <f>"0000548"</f>
        <v>0000548</v>
      </c>
      <c r="G439">
        <v>1</v>
      </c>
      <c r="H439" t="str">
        <f>"00000000"</f>
        <v>00000000</v>
      </c>
      <c r="I439" t="s">
        <v>39</v>
      </c>
      <c r="J439"/>
      <c r="K439">
        <v>254.24</v>
      </c>
      <c r="L439">
        <v>0.0</v>
      </c>
      <c r="M439"/>
      <c r="N439"/>
      <c r="O439">
        <v>45.76</v>
      </c>
      <c r="P439">
        <v>0.0</v>
      </c>
      <c r="Q439">
        <v>300.0</v>
      </c>
      <c r="R439"/>
      <c r="S439"/>
      <c r="T439"/>
      <c r="U439"/>
      <c r="V439"/>
      <c r="W439">
        <v>18</v>
      </c>
    </row>
    <row r="440" spans="1:23">
      <c r="A440"/>
      <c r="B440" t="s">
        <v>62</v>
      </c>
      <c r="C440" t="s">
        <v>62</v>
      </c>
      <c r="D440" t="s">
        <v>37</v>
      </c>
      <c r="E440" t="s">
        <v>38</v>
      </c>
      <c r="F440" t="str">
        <f>"0000549"</f>
        <v>0000549</v>
      </c>
      <c r="G440">
        <v>1</v>
      </c>
      <c r="H440" t="str">
        <f>"00000000"</f>
        <v>00000000</v>
      </c>
      <c r="I440" t="s">
        <v>39</v>
      </c>
      <c r="J440"/>
      <c r="K440">
        <v>372.88</v>
      </c>
      <c r="L440">
        <v>0.0</v>
      </c>
      <c r="M440"/>
      <c r="N440"/>
      <c r="O440">
        <v>67.12</v>
      </c>
      <c r="P440">
        <v>0.0</v>
      </c>
      <c r="Q440">
        <v>440.0</v>
      </c>
      <c r="R440"/>
      <c r="S440"/>
      <c r="T440"/>
      <c r="U440"/>
      <c r="V440"/>
      <c r="W440">
        <v>18</v>
      </c>
    </row>
    <row r="441" spans="1:23">
      <c r="A441"/>
      <c r="B441" t="s">
        <v>62</v>
      </c>
      <c r="C441" t="s">
        <v>62</v>
      </c>
      <c r="D441" t="s">
        <v>37</v>
      </c>
      <c r="E441" t="s">
        <v>38</v>
      </c>
      <c r="F441" t="str">
        <f>"0000550"</f>
        <v>0000550</v>
      </c>
      <c r="G441">
        <v>1</v>
      </c>
      <c r="H441" t="str">
        <f>"00000000"</f>
        <v>00000000</v>
      </c>
      <c r="I441" t="s">
        <v>39</v>
      </c>
      <c r="J441"/>
      <c r="K441">
        <v>338.98</v>
      </c>
      <c r="L441">
        <v>0.0</v>
      </c>
      <c r="M441"/>
      <c r="N441"/>
      <c r="O441">
        <v>61.02</v>
      </c>
      <c r="P441">
        <v>0.0</v>
      </c>
      <c r="Q441">
        <v>400.0</v>
      </c>
      <c r="R441"/>
      <c r="S441"/>
      <c r="T441"/>
      <c r="U441"/>
      <c r="V441"/>
      <c r="W441">
        <v>18</v>
      </c>
    </row>
    <row r="442" spans="1:23">
      <c r="A442"/>
      <c r="B442" t="s">
        <v>62</v>
      </c>
      <c r="C442" t="s">
        <v>62</v>
      </c>
      <c r="D442" t="s">
        <v>37</v>
      </c>
      <c r="E442" t="s">
        <v>38</v>
      </c>
      <c r="F442" t="str">
        <f>"0000551"</f>
        <v>0000551</v>
      </c>
      <c r="G442">
        <v>1</v>
      </c>
      <c r="H442" t="str">
        <f>"00000000"</f>
        <v>00000000</v>
      </c>
      <c r="I442" t="s">
        <v>39</v>
      </c>
      <c r="J442"/>
      <c r="K442">
        <v>338.98</v>
      </c>
      <c r="L442">
        <v>0.0</v>
      </c>
      <c r="M442"/>
      <c r="N442"/>
      <c r="O442">
        <v>61.02</v>
      </c>
      <c r="P442">
        <v>0.0</v>
      </c>
      <c r="Q442">
        <v>400.0</v>
      </c>
      <c r="R442"/>
      <c r="S442"/>
      <c r="T442"/>
      <c r="U442"/>
      <c r="V442"/>
      <c r="W442">
        <v>18</v>
      </c>
    </row>
    <row r="443" spans="1:23">
      <c r="A443"/>
      <c r="B443" t="s">
        <v>62</v>
      </c>
      <c r="C443" t="s">
        <v>62</v>
      </c>
      <c r="D443" t="s">
        <v>37</v>
      </c>
      <c r="E443" t="s">
        <v>38</v>
      </c>
      <c r="F443" t="str">
        <f>"0000552"</f>
        <v>0000552</v>
      </c>
      <c r="G443">
        <v>1</v>
      </c>
      <c r="H443" t="str">
        <f>"00000000"</f>
        <v>00000000</v>
      </c>
      <c r="I443" t="s">
        <v>39</v>
      </c>
      <c r="J443"/>
      <c r="K443">
        <v>406.78</v>
      </c>
      <c r="L443">
        <v>0.0</v>
      </c>
      <c r="M443"/>
      <c r="N443"/>
      <c r="O443">
        <v>73.22</v>
      </c>
      <c r="P443">
        <v>0.0</v>
      </c>
      <c r="Q443">
        <v>480.0</v>
      </c>
      <c r="R443"/>
      <c r="S443"/>
      <c r="T443"/>
      <c r="U443"/>
      <c r="V443"/>
      <c r="W443">
        <v>18</v>
      </c>
    </row>
    <row r="444" spans="1:23">
      <c r="A444"/>
      <c r="B444" t="s">
        <v>62</v>
      </c>
      <c r="C444" t="s">
        <v>62</v>
      </c>
      <c r="D444" t="s">
        <v>37</v>
      </c>
      <c r="E444" t="s">
        <v>38</v>
      </c>
      <c r="F444" t="str">
        <f>"0000553"</f>
        <v>0000553</v>
      </c>
      <c r="G444">
        <v>1</v>
      </c>
      <c r="H444" t="str">
        <f>"00000000"</f>
        <v>00000000</v>
      </c>
      <c r="I444" t="s">
        <v>39</v>
      </c>
      <c r="J444"/>
      <c r="K444">
        <v>338.98</v>
      </c>
      <c r="L444">
        <v>0.0</v>
      </c>
      <c r="M444"/>
      <c r="N444"/>
      <c r="O444">
        <v>61.02</v>
      </c>
      <c r="P444">
        <v>0.0</v>
      </c>
      <c r="Q444">
        <v>400.0</v>
      </c>
      <c r="R444"/>
      <c r="S444"/>
      <c r="T444"/>
      <c r="U444"/>
      <c r="V444"/>
      <c r="W444">
        <v>18</v>
      </c>
    </row>
    <row r="445" spans="1:23">
      <c r="A445"/>
      <c r="B445" t="s">
        <v>62</v>
      </c>
      <c r="C445" t="s">
        <v>62</v>
      </c>
      <c r="D445" t="s">
        <v>37</v>
      </c>
      <c r="E445" t="s">
        <v>38</v>
      </c>
      <c r="F445" t="str">
        <f>"0000554"</f>
        <v>0000554</v>
      </c>
      <c r="G445">
        <v>1</v>
      </c>
      <c r="H445" t="str">
        <f>"00000000"</f>
        <v>00000000</v>
      </c>
      <c r="I445" t="s">
        <v>39</v>
      </c>
      <c r="J445"/>
      <c r="K445">
        <v>338.98</v>
      </c>
      <c r="L445">
        <v>0.0</v>
      </c>
      <c r="M445"/>
      <c r="N445"/>
      <c r="O445">
        <v>61.02</v>
      </c>
      <c r="P445">
        <v>0.0</v>
      </c>
      <c r="Q445">
        <v>400.0</v>
      </c>
      <c r="R445"/>
      <c r="S445"/>
      <c r="T445"/>
      <c r="U445"/>
      <c r="V445"/>
      <c r="W445">
        <v>18</v>
      </c>
    </row>
    <row r="446" spans="1:23">
      <c r="A446"/>
      <c r="B446" t="s">
        <v>62</v>
      </c>
      <c r="C446" t="s">
        <v>62</v>
      </c>
      <c r="D446" t="s">
        <v>37</v>
      </c>
      <c r="E446" t="s">
        <v>38</v>
      </c>
      <c r="F446" t="str">
        <f>"0000555"</f>
        <v>0000555</v>
      </c>
      <c r="G446">
        <v>1</v>
      </c>
      <c r="H446" t="str">
        <f>"00000000"</f>
        <v>00000000</v>
      </c>
      <c r="I446" t="s">
        <v>39</v>
      </c>
      <c r="J446"/>
      <c r="K446">
        <v>402.54</v>
      </c>
      <c r="L446">
        <v>0.0</v>
      </c>
      <c r="M446"/>
      <c r="N446"/>
      <c r="O446">
        <v>72.46</v>
      </c>
      <c r="P446">
        <v>0.0</v>
      </c>
      <c r="Q446">
        <v>475.0</v>
      </c>
      <c r="R446"/>
      <c r="S446"/>
      <c r="T446"/>
      <c r="U446"/>
      <c r="V446"/>
      <c r="W446">
        <v>18</v>
      </c>
    </row>
    <row r="447" spans="1:23">
      <c r="A447"/>
      <c r="B447" t="s">
        <v>62</v>
      </c>
      <c r="C447" t="s">
        <v>62</v>
      </c>
      <c r="D447" t="s">
        <v>37</v>
      </c>
      <c r="E447" t="s">
        <v>38</v>
      </c>
      <c r="F447" t="str">
        <f>"0000556"</f>
        <v>0000556</v>
      </c>
      <c r="G447">
        <v>1</v>
      </c>
      <c r="H447" t="str">
        <f>"00000000"</f>
        <v>00000000</v>
      </c>
      <c r="I447" t="s">
        <v>39</v>
      </c>
      <c r="J447"/>
      <c r="K447">
        <v>381.36</v>
      </c>
      <c r="L447">
        <v>0.0</v>
      </c>
      <c r="M447"/>
      <c r="N447"/>
      <c r="O447">
        <v>68.64</v>
      </c>
      <c r="P447">
        <v>0.0</v>
      </c>
      <c r="Q447">
        <v>450.0</v>
      </c>
      <c r="R447"/>
      <c r="S447"/>
      <c r="T447"/>
      <c r="U447"/>
      <c r="V447"/>
      <c r="W447">
        <v>18</v>
      </c>
    </row>
    <row r="448" spans="1:23">
      <c r="A448"/>
      <c r="B448" t="s">
        <v>62</v>
      </c>
      <c r="C448" t="s">
        <v>62</v>
      </c>
      <c r="D448" t="s">
        <v>37</v>
      </c>
      <c r="E448" t="s">
        <v>38</v>
      </c>
      <c r="F448" t="str">
        <f>"0000557"</f>
        <v>0000557</v>
      </c>
      <c r="G448">
        <v>1</v>
      </c>
      <c r="H448" t="str">
        <f>"00000000"</f>
        <v>00000000</v>
      </c>
      <c r="I448" t="s">
        <v>39</v>
      </c>
      <c r="J448"/>
      <c r="K448">
        <v>296.61</v>
      </c>
      <c r="L448">
        <v>0.0</v>
      </c>
      <c r="M448"/>
      <c r="N448"/>
      <c r="O448">
        <v>53.39</v>
      </c>
      <c r="P448">
        <v>0.0</v>
      </c>
      <c r="Q448">
        <v>350.0</v>
      </c>
      <c r="R448"/>
      <c r="S448"/>
      <c r="T448"/>
      <c r="U448"/>
      <c r="V448"/>
      <c r="W448">
        <v>18</v>
      </c>
    </row>
    <row r="449" spans="1:23">
      <c r="A449"/>
      <c r="B449" t="s">
        <v>62</v>
      </c>
      <c r="C449" t="s">
        <v>62</v>
      </c>
      <c r="D449" t="s">
        <v>37</v>
      </c>
      <c r="E449" t="s">
        <v>38</v>
      </c>
      <c r="F449" t="str">
        <f>"0000558"</f>
        <v>0000558</v>
      </c>
      <c r="G449">
        <v>1</v>
      </c>
      <c r="H449" t="str">
        <f>"00000000"</f>
        <v>00000000</v>
      </c>
      <c r="I449" t="s">
        <v>39</v>
      </c>
      <c r="J449"/>
      <c r="K449">
        <v>254.24</v>
      </c>
      <c r="L449">
        <v>0.0</v>
      </c>
      <c r="M449"/>
      <c r="N449"/>
      <c r="O449">
        <v>45.76</v>
      </c>
      <c r="P449">
        <v>0.0</v>
      </c>
      <c r="Q449">
        <v>300.0</v>
      </c>
      <c r="R449"/>
      <c r="S449"/>
      <c r="T449"/>
      <c r="U449"/>
      <c r="V449"/>
      <c r="W449">
        <v>18</v>
      </c>
    </row>
    <row r="450" spans="1:23">
      <c r="A450"/>
      <c r="B450" t="s">
        <v>62</v>
      </c>
      <c r="C450" t="s">
        <v>62</v>
      </c>
      <c r="D450" t="s">
        <v>37</v>
      </c>
      <c r="E450" t="s">
        <v>38</v>
      </c>
      <c r="F450" t="str">
        <f>"0000559"</f>
        <v>0000559</v>
      </c>
      <c r="G450">
        <v>1</v>
      </c>
      <c r="H450" t="str">
        <f>"00000000"</f>
        <v>00000000</v>
      </c>
      <c r="I450" t="s">
        <v>39</v>
      </c>
      <c r="J450"/>
      <c r="K450">
        <v>406.78</v>
      </c>
      <c r="L450">
        <v>0.0</v>
      </c>
      <c r="M450"/>
      <c r="N450"/>
      <c r="O450">
        <v>73.22</v>
      </c>
      <c r="P450">
        <v>0.0</v>
      </c>
      <c r="Q450">
        <v>480.0</v>
      </c>
      <c r="R450"/>
      <c r="S450"/>
      <c r="T450"/>
      <c r="U450"/>
      <c r="V450"/>
      <c r="W450">
        <v>18</v>
      </c>
    </row>
    <row r="451" spans="1:23">
      <c r="A451"/>
      <c r="B451" t="s">
        <v>62</v>
      </c>
      <c r="C451" t="s">
        <v>62</v>
      </c>
      <c r="D451" t="s">
        <v>37</v>
      </c>
      <c r="E451" t="s">
        <v>38</v>
      </c>
      <c r="F451" t="str">
        <f>"0000560"</f>
        <v>0000560</v>
      </c>
      <c r="G451">
        <v>1</v>
      </c>
      <c r="H451" t="str">
        <f>"00000000"</f>
        <v>00000000</v>
      </c>
      <c r="I451" t="s">
        <v>39</v>
      </c>
      <c r="J451"/>
      <c r="K451">
        <v>338.98</v>
      </c>
      <c r="L451">
        <v>0.0</v>
      </c>
      <c r="M451"/>
      <c r="N451"/>
      <c r="O451">
        <v>61.02</v>
      </c>
      <c r="P451">
        <v>0.0</v>
      </c>
      <c r="Q451">
        <v>400.0</v>
      </c>
      <c r="R451"/>
      <c r="S451"/>
      <c r="T451"/>
      <c r="U451"/>
      <c r="V451"/>
      <c r="W451">
        <v>18</v>
      </c>
    </row>
    <row r="452" spans="1:23">
      <c r="A452"/>
      <c r="B452" t="s">
        <v>62</v>
      </c>
      <c r="C452" t="s">
        <v>62</v>
      </c>
      <c r="D452" t="s">
        <v>37</v>
      </c>
      <c r="E452" t="s">
        <v>38</v>
      </c>
      <c r="F452" t="str">
        <f>"0000561"</f>
        <v>0000561</v>
      </c>
      <c r="G452">
        <v>1</v>
      </c>
      <c r="H452" t="str">
        <f>"00000000"</f>
        <v>00000000</v>
      </c>
      <c r="I452" t="s">
        <v>39</v>
      </c>
      <c r="J452"/>
      <c r="K452">
        <v>305.08</v>
      </c>
      <c r="L452">
        <v>0.0</v>
      </c>
      <c r="M452"/>
      <c r="N452"/>
      <c r="O452">
        <v>54.92</v>
      </c>
      <c r="P452">
        <v>0.0</v>
      </c>
      <c r="Q452">
        <v>360.0</v>
      </c>
      <c r="R452"/>
      <c r="S452"/>
      <c r="T452"/>
      <c r="U452"/>
      <c r="V452"/>
      <c r="W452">
        <v>18</v>
      </c>
    </row>
    <row r="453" spans="1:23">
      <c r="A453"/>
      <c r="B453" t="s">
        <v>62</v>
      </c>
      <c r="C453" t="s">
        <v>62</v>
      </c>
      <c r="D453" t="s">
        <v>37</v>
      </c>
      <c r="E453" t="s">
        <v>38</v>
      </c>
      <c r="F453" t="str">
        <f>"0000562"</f>
        <v>0000562</v>
      </c>
      <c r="G453">
        <v>1</v>
      </c>
      <c r="H453" t="str">
        <f>"00000000"</f>
        <v>00000000</v>
      </c>
      <c r="I453" t="s">
        <v>39</v>
      </c>
      <c r="J453"/>
      <c r="K453">
        <v>423.73</v>
      </c>
      <c r="L453">
        <v>0.0</v>
      </c>
      <c r="M453"/>
      <c r="N453"/>
      <c r="O453">
        <v>76.27</v>
      </c>
      <c r="P453">
        <v>0.0</v>
      </c>
      <c r="Q453">
        <v>500.0</v>
      </c>
      <c r="R453"/>
      <c r="S453"/>
      <c r="T453"/>
      <c r="U453"/>
      <c r="V453"/>
      <c r="W453">
        <v>18</v>
      </c>
    </row>
    <row r="454" spans="1:23">
      <c r="A454"/>
      <c r="B454" t="s">
        <v>63</v>
      </c>
      <c r="C454" t="s">
        <v>63</v>
      </c>
      <c r="D454" t="s">
        <v>37</v>
      </c>
      <c r="E454" t="s">
        <v>38</v>
      </c>
      <c r="F454" t="str">
        <f>"0000563"</f>
        <v>0000563</v>
      </c>
      <c r="G454">
        <v>1</v>
      </c>
      <c r="H454" t="str">
        <f>"00000000"</f>
        <v>00000000</v>
      </c>
      <c r="I454" t="s">
        <v>39</v>
      </c>
      <c r="J454"/>
      <c r="K454">
        <v>296.61</v>
      </c>
      <c r="L454">
        <v>0.0</v>
      </c>
      <c r="M454"/>
      <c r="N454"/>
      <c r="O454">
        <v>53.39</v>
      </c>
      <c r="P454">
        <v>0.0</v>
      </c>
      <c r="Q454">
        <v>350.0</v>
      </c>
      <c r="R454"/>
      <c r="S454"/>
      <c r="T454"/>
      <c r="U454"/>
      <c r="V454"/>
      <c r="W454">
        <v>18</v>
      </c>
    </row>
    <row r="455" spans="1:23">
      <c r="A455"/>
      <c r="B455" t="s">
        <v>63</v>
      </c>
      <c r="C455" t="s">
        <v>63</v>
      </c>
      <c r="D455" t="s">
        <v>37</v>
      </c>
      <c r="E455" t="s">
        <v>38</v>
      </c>
      <c r="F455" t="str">
        <f>"0000564"</f>
        <v>0000564</v>
      </c>
      <c r="G455">
        <v>1</v>
      </c>
      <c r="H455" t="str">
        <f>"00000000"</f>
        <v>00000000</v>
      </c>
      <c r="I455" t="s">
        <v>39</v>
      </c>
      <c r="J455"/>
      <c r="K455">
        <v>254.24</v>
      </c>
      <c r="L455">
        <v>0.0</v>
      </c>
      <c r="M455"/>
      <c r="N455"/>
      <c r="O455">
        <v>45.76</v>
      </c>
      <c r="P455">
        <v>0.0</v>
      </c>
      <c r="Q455">
        <v>300.0</v>
      </c>
      <c r="R455"/>
      <c r="S455"/>
      <c r="T455"/>
      <c r="U455"/>
      <c r="V455"/>
      <c r="W455">
        <v>18</v>
      </c>
    </row>
    <row r="456" spans="1:23">
      <c r="A456"/>
      <c r="B456" t="s">
        <v>63</v>
      </c>
      <c r="C456" t="s">
        <v>63</v>
      </c>
      <c r="D456" t="s">
        <v>37</v>
      </c>
      <c r="E456" t="s">
        <v>38</v>
      </c>
      <c r="F456" t="str">
        <f>"0000565"</f>
        <v>0000565</v>
      </c>
      <c r="G456">
        <v>1</v>
      </c>
      <c r="H456" t="str">
        <f>"00000000"</f>
        <v>00000000</v>
      </c>
      <c r="I456" t="s">
        <v>39</v>
      </c>
      <c r="J456"/>
      <c r="K456">
        <v>148.31</v>
      </c>
      <c r="L456">
        <v>0.0</v>
      </c>
      <c r="M456"/>
      <c r="N456"/>
      <c r="O456">
        <v>26.69</v>
      </c>
      <c r="P456">
        <v>0.0</v>
      </c>
      <c r="Q456">
        <v>175.0</v>
      </c>
      <c r="R456"/>
      <c r="S456"/>
      <c r="T456"/>
      <c r="U456"/>
      <c r="V456"/>
      <c r="W456">
        <v>18</v>
      </c>
    </row>
    <row r="457" spans="1:23">
      <c r="A457"/>
      <c r="B457" t="s">
        <v>63</v>
      </c>
      <c r="C457" t="s">
        <v>63</v>
      </c>
      <c r="D457" t="s">
        <v>37</v>
      </c>
      <c r="E457" t="s">
        <v>38</v>
      </c>
      <c r="F457" t="str">
        <f>"0000566"</f>
        <v>0000566</v>
      </c>
      <c r="G457">
        <v>1</v>
      </c>
      <c r="H457" t="str">
        <f>"00000000"</f>
        <v>00000000</v>
      </c>
      <c r="I457" t="s">
        <v>39</v>
      </c>
      <c r="J457"/>
      <c r="K457">
        <v>254.24</v>
      </c>
      <c r="L457">
        <v>0.0</v>
      </c>
      <c r="M457"/>
      <c r="N457"/>
      <c r="O457">
        <v>45.76</v>
      </c>
      <c r="P457">
        <v>0.0</v>
      </c>
      <c r="Q457">
        <v>300.0</v>
      </c>
      <c r="R457"/>
      <c r="S457"/>
      <c r="T457"/>
      <c r="U457"/>
      <c r="V457"/>
      <c r="W457">
        <v>18</v>
      </c>
    </row>
    <row r="458" spans="1:23">
      <c r="A458"/>
      <c r="B458" t="s">
        <v>63</v>
      </c>
      <c r="C458" t="s">
        <v>63</v>
      </c>
      <c r="D458" t="s">
        <v>37</v>
      </c>
      <c r="E458" t="s">
        <v>38</v>
      </c>
      <c r="F458" t="str">
        <f>"0000567"</f>
        <v>0000567</v>
      </c>
      <c r="G458">
        <v>1</v>
      </c>
      <c r="H458" t="str">
        <f>"00000000"</f>
        <v>00000000</v>
      </c>
      <c r="I458" t="s">
        <v>39</v>
      </c>
      <c r="J458"/>
      <c r="K458">
        <v>254.24</v>
      </c>
      <c r="L458">
        <v>0.0</v>
      </c>
      <c r="M458"/>
      <c r="N458"/>
      <c r="O458">
        <v>45.76</v>
      </c>
      <c r="P458">
        <v>0.0</v>
      </c>
      <c r="Q458">
        <v>300.0</v>
      </c>
      <c r="R458"/>
      <c r="S458"/>
      <c r="T458"/>
      <c r="U458"/>
      <c r="V458"/>
      <c r="W458">
        <v>18</v>
      </c>
    </row>
    <row r="459" spans="1:23">
      <c r="A459"/>
      <c r="B459" t="s">
        <v>63</v>
      </c>
      <c r="C459" t="s">
        <v>63</v>
      </c>
      <c r="D459" t="s">
        <v>37</v>
      </c>
      <c r="E459" t="s">
        <v>38</v>
      </c>
      <c r="F459" t="str">
        <f>"0000568"</f>
        <v>0000568</v>
      </c>
      <c r="G459">
        <v>1</v>
      </c>
      <c r="H459" t="str">
        <f>"00000000"</f>
        <v>00000000</v>
      </c>
      <c r="I459" t="s">
        <v>39</v>
      </c>
      <c r="J459"/>
      <c r="K459">
        <v>355.93</v>
      </c>
      <c r="L459">
        <v>0.0</v>
      </c>
      <c r="M459"/>
      <c r="N459"/>
      <c r="O459">
        <v>64.07</v>
      </c>
      <c r="P459">
        <v>0.0</v>
      </c>
      <c r="Q459">
        <v>420.0</v>
      </c>
      <c r="R459"/>
      <c r="S459"/>
      <c r="T459"/>
      <c r="U459"/>
      <c r="V459"/>
      <c r="W459">
        <v>18</v>
      </c>
    </row>
    <row r="460" spans="1:23">
      <c r="A460"/>
      <c r="B460" t="s">
        <v>63</v>
      </c>
      <c r="C460" t="s">
        <v>63</v>
      </c>
      <c r="D460" t="s">
        <v>37</v>
      </c>
      <c r="E460" t="s">
        <v>38</v>
      </c>
      <c r="F460" t="str">
        <f>"0000569"</f>
        <v>0000569</v>
      </c>
      <c r="G460">
        <v>1</v>
      </c>
      <c r="H460" t="str">
        <f>"00000000"</f>
        <v>00000000</v>
      </c>
      <c r="I460" t="s">
        <v>39</v>
      </c>
      <c r="J460"/>
      <c r="K460">
        <v>271.19</v>
      </c>
      <c r="L460">
        <v>0.0</v>
      </c>
      <c r="M460"/>
      <c r="N460"/>
      <c r="O460">
        <v>48.81</v>
      </c>
      <c r="P460">
        <v>0.0</v>
      </c>
      <c r="Q460">
        <v>320.0</v>
      </c>
      <c r="R460"/>
      <c r="S460"/>
      <c r="T460"/>
      <c r="U460"/>
      <c r="V460"/>
      <c r="W460">
        <v>18</v>
      </c>
    </row>
    <row r="461" spans="1:23">
      <c r="A461"/>
      <c r="B461" t="s">
        <v>63</v>
      </c>
      <c r="C461" t="s">
        <v>63</v>
      </c>
      <c r="D461" t="s">
        <v>37</v>
      </c>
      <c r="E461" t="s">
        <v>38</v>
      </c>
      <c r="F461" t="str">
        <f>"0000570"</f>
        <v>0000570</v>
      </c>
      <c r="G461">
        <v>1</v>
      </c>
      <c r="H461" t="str">
        <f>"00000000"</f>
        <v>00000000</v>
      </c>
      <c r="I461" t="s">
        <v>39</v>
      </c>
      <c r="J461"/>
      <c r="K461">
        <v>296.61</v>
      </c>
      <c r="L461">
        <v>0.0</v>
      </c>
      <c r="M461"/>
      <c r="N461"/>
      <c r="O461">
        <v>53.39</v>
      </c>
      <c r="P461">
        <v>0.0</v>
      </c>
      <c r="Q461">
        <v>350.0</v>
      </c>
      <c r="R461"/>
      <c r="S461"/>
      <c r="T461"/>
      <c r="U461"/>
      <c r="V461"/>
      <c r="W461">
        <v>18</v>
      </c>
    </row>
    <row r="462" spans="1:23">
      <c r="A462"/>
      <c r="B462" t="s">
        <v>63</v>
      </c>
      <c r="C462" t="s">
        <v>63</v>
      </c>
      <c r="D462" t="s">
        <v>37</v>
      </c>
      <c r="E462" t="s">
        <v>38</v>
      </c>
      <c r="F462" t="str">
        <f>"0000571"</f>
        <v>0000571</v>
      </c>
      <c r="G462">
        <v>1</v>
      </c>
      <c r="H462" t="str">
        <f>"00000000"</f>
        <v>00000000</v>
      </c>
      <c r="I462" t="s">
        <v>39</v>
      </c>
      <c r="J462"/>
      <c r="K462">
        <v>271.19</v>
      </c>
      <c r="L462">
        <v>0.0</v>
      </c>
      <c r="M462"/>
      <c r="N462"/>
      <c r="O462">
        <v>48.81</v>
      </c>
      <c r="P462">
        <v>0.0</v>
      </c>
      <c r="Q462">
        <v>320.0</v>
      </c>
      <c r="R462"/>
      <c r="S462"/>
      <c r="T462"/>
      <c r="U462"/>
      <c r="V462"/>
      <c r="W462">
        <v>18</v>
      </c>
    </row>
    <row r="463" spans="1:23">
      <c r="A463"/>
      <c r="B463" t="s">
        <v>63</v>
      </c>
      <c r="C463" t="s">
        <v>63</v>
      </c>
      <c r="D463" t="s">
        <v>37</v>
      </c>
      <c r="E463" t="s">
        <v>38</v>
      </c>
      <c r="F463" t="str">
        <f>"0000572"</f>
        <v>0000572</v>
      </c>
      <c r="G463">
        <v>1</v>
      </c>
      <c r="H463" t="str">
        <f>"00000000"</f>
        <v>00000000</v>
      </c>
      <c r="I463" t="s">
        <v>39</v>
      </c>
      <c r="J463"/>
      <c r="K463">
        <v>406.78</v>
      </c>
      <c r="L463">
        <v>0.0</v>
      </c>
      <c r="M463"/>
      <c r="N463"/>
      <c r="O463">
        <v>73.22</v>
      </c>
      <c r="P463">
        <v>0.0</v>
      </c>
      <c r="Q463">
        <v>480.0</v>
      </c>
      <c r="R463"/>
      <c r="S463"/>
      <c r="T463"/>
      <c r="U463"/>
      <c r="V463"/>
      <c r="W463">
        <v>18</v>
      </c>
    </row>
    <row r="464" spans="1:23">
      <c r="A464"/>
      <c r="B464" t="s">
        <v>63</v>
      </c>
      <c r="C464" t="s">
        <v>63</v>
      </c>
      <c r="D464" t="s">
        <v>37</v>
      </c>
      <c r="E464" t="s">
        <v>38</v>
      </c>
      <c r="F464" t="str">
        <f>"0000573"</f>
        <v>0000573</v>
      </c>
      <c r="G464">
        <v>1</v>
      </c>
      <c r="H464" t="str">
        <f>"00000000"</f>
        <v>00000000</v>
      </c>
      <c r="I464" t="s">
        <v>39</v>
      </c>
      <c r="J464"/>
      <c r="K464">
        <v>220.34</v>
      </c>
      <c r="L464">
        <v>0.0</v>
      </c>
      <c r="M464"/>
      <c r="N464"/>
      <c r="O464">
        <v>39.66</v>
      </c>
      <c r="P464">
        <v>0.0</v>
      </c>
      <c r="Q464">
        <v>260.0</v>
      </c>
      <c r="R464"/>
      <c r="S464"/>
      <c r="T464"/>
      <c r="U464"/>
      <c r="V464"/>
      <c r="W464">
        <v>18</v>
      </c>
    </row>
    <row r="465" spans="1:23">
      <c r="A465"/>
      <c r="B465" t="s">
        <v>63</v>
      </c>
      <c r="C465" t="s">
        <v>63</v>
      </c>
      <c r="D465" t="s">
        <v>37</v>
      </c>
      <c r="E465" t="s">
        <v>38</v>
      </c>
      <c r="F465" t="str">
        <f>"0000574"</f>
        <v>0000574</v>
      </c>
      <c r="G465">
        <v>1</v>
      </c>
      <c r="H465" t="str">
        <f>"00000000"</f>
        <v>00000000</v>
      </c>
      <c r="I465" t="s">
        <v>39</v>
      </c>
      <c r="J465"/>
      <c r="K465">
        <v>254.24</v>
      </c>
      <c r="L465">
        <v>0.0</v>
      </c>
      <c r="M465"/>
      <c r="N465"/>
      <c r="O465">
        <v>45.76</v>
      </c>
      <c r="P465">
        <v>0.0</v>
      </c>
      <c r="Q465">
        <v>300.0</v>
      </c>
      <c r="R465"/>
      <c r="S465"/>
      <c r="T465"/>
      <c r="U465"/>
      <c r="V465"/>
      <c r="W465">
        <v>18</v>
      </c>
    </row>
    <row r="466" spans="1:23">
      <c r="A466"/>
      <c r="B466" t="s">
        <v>63</v>
      </c>
      <c r="C466" t="s">
        <v>63</v>
      </c>
      <c r="D466" t="s">
        <v>37</v>
      </c>
      <c r="E466" t="s">
        <v>38</v>
      </c>
      <c r="F466" t="str">
        <f>"0000575"</f>
        <v>0000575</v>
      </c>
      <c r="G466">
        <v>1</v>
      </c>
      <c r="H466" t="str">
        <f>"00000000"</f>
        <v>00000000</v>
      </c>
      <c r="I466" t="s">
        <v>39</v>
      </c>
      <c r="J466"/>
      <c r="K466">
        <v>355.93</v>
      </c>
      <c r="L466">
        <v>0.0</v>
      </c>
      <c r="M466"/>
      <c r="N466"/>
      <c r="O466">
        <v>64.07</v>
      </c>
      <c r="P466">
        <v>0.0</v>
      </c>
      <c r="Q466">
        <v>420.0</v>
      </c>
      <c r="R466"/>
      <c r="S466"/>
      <c r="T466"/>
      <c r="U466"/>
      <c r="V466"/>
      <c r="W466">
        <v>18</v>
      </c>
    </row>
    <row r="467" spans="1:23">
      <c r="A467"/>
      <c r="B467" t="s">
        <v>63</v>
      </c>
      <c r="C467" t="s">
        <v>63</v>
      </c>
      <c r="D467" t="s">
        <v>37</v>
      </c>
      <c r="E467" t="s">
        <v>38</v>
      </c>
      <c r="F467" t="str">
        <f>"0000576"</f>
        <v>0000576</v>
      </c>
      <c r="G467">
        <v>1</v>
      </c>
      <c r="H467" t="str">
        <f>"00000000"</f>
        <v>00000000</v>
      </c>
      <c r="I467" t="s">
        <v>39</v>
      </c>
      <c r="J467"/>
      <c r="K467">
        <v>177.97</v>
      </c>
      <c r="L467">
        <v>0.0</v>
      </c>
      <c r="M467"/>
      <c r="N467"/>
      <c r="O467">
        <v>32.03</v>
      </c>
      <c r="P467">
        <v>0.0</v>
      </c>
      <c r="Q467">
        <v>210.0</v>
      </c>
      <c r="R467"/>
      <c r="S467"/>
      <c r="T467"/>
      <c r="U467"/>
      <c r="V467"/>
      <c r="W467">
        <v>18</v>
      </c>
    </row>
    <row r="468" spans="1:23">
      <c r="A468"/>
      <c r="B468" t="s">
        <v>63</v>
      </c>
      <c r="C468" t="s">
        <v>63</v>
      </c>
      <c r="D468" t="s">
        <v>37</v>
      </c>
      <c r="E468" t="s">
        <v>38</v>
      </c>
      <c r="F468" t="str">
        <f>"0000577"</f>
        <v>0000577</v>
      </c>
      <c r="G468">
        <v>1</v>
      </c>
      <c r="H468" t="str">
        <f>"00000000"</f>
        <v>00000000</v>
      </c>
      <c r="I468" t="s">
        <v>39</v>
      </c>
      <c r="J468"/>
      <c r="K468">
        <v>381.36</v>
      </c>
      <c r="L468">
        <v>0.0</v>
      </c>
      <c r="M468"/>
      <c r="N468"/>
      <c r="O468">
        <v>68.64</v>
      </c>
      <c r="P468">
        <v>0.0</v>
      </c>
      <c r="Q468">
        <v>450.0</v>
      </c>
      <c r="R468"/>
      <c r="S468"/>
      <c r="T468"/>
      <c r="U468"/>
      <c r="V468"/>
      <c r="W468">
        <v>18</v>
      </c>
    </row>
    <row r="469" spans="1:23">
      <c r="A469"/>
      <c r="B469" t="s">
        <v>63</v>
      </c>
      <c r="C469" t="s">
        <v>63</v>
      </c>
      <c r="D469" t="s">
        <v>37</v>
      </c>
      <c r="E469" t="s">
        <v>38</v>
      </c>
      <c r="F469" t="str">
        <f>"0000578"</f>
        <v>0000578</v>
      </c>
      <c r="G469">
        <v>1</v>
      </c>
      <c r="H469" t="str">
        <f>"00000000"</f>
        <v>00000000</v>
      </c>
      <c r="I469" t="s">
        <v>39</v>
      </c>
      <c r="J469"/>
      <c r="K469">
        <v>169.49</v>
      </c>
      <c r="L469">
        <v>0.0</v>
      </c>
      <c r="M469"/>
      <c r="N469"/>
      <c r="O469">
        <v>30.51</v>
      </c>
      <c r="P469">
        <v>0.0</v>
      </c>
      <c r="Q469">
        <v>200.0</v>
      </c>
      <c r="R469"/>
      <c r="S469"/>
      <c r="T469"/>
      <c r="U469"/>
      <c r="V469"/>
      <c r="W469">
        <v>18</v>
      </c>
    </row>
    <row r="470" spans="1:23">
      <c r="A470"/>
      <c r="B470" t="s">
        <v>64</v>
      </c>
      <c r="C470" t="s">
        <v>64</v>
      </c>
      <c r="D470" t="s">
        <v>33</v>
      </c>
      <c r="E470" t="s">
        <v>34</v>
      </c>
      <c r="F470" t="str">
        <f>"0000024"</f>
        <v>0000024</v>
      </c>
      <c r="G470">
        <v>6</v>
      </c>
      <c r="H470" t="str">
        <f>"20603554028"</f>
        <v>20603554028</v>
      </c>
      <c r="I470" t="s">
        <v>65</v>
      </c>
      <c r="J470"/>
      <c r="K470">
        <v>152.54</v>
      </c>
      <c r="L470">
        <v>0.0</v>
      </c>
      <c r="M470"/>
      <c r="N470"/>
      <c r="O470">
        <v>27.46</v>
      </c>
      <c r="P470">
        <v>0.0</v>
      </c>
      <c r="Q470">
        <v>180.0</v>
      </c>
      <c r="R470"/>
      <c r="S470"/>
      <c r="T470"/>
      <c r="U470"/>
      <c r="V470"/>
      <c r="W470">
        <v>18</v>
      </c>
    </row>
    <row r="471" spans="1:23">
      <c r="A471"/>
      <c r="B471" t="s">
        <v>64</v>
      </c>
      <c r="C471" t="s">
        <v>64</v>
      </c>
      <c r="D471" t="s">
        <v>37</v>
      </c>
      <c r="E471" t="s">
        <v>38</v>
      </c>
      <c r="F471" t="str">
        <f>"0000579"</f>
        <v>0000579</v>
      </c>
      <c r="G471">
        <v>1</v>
      </c>
      <c r="H471" t="str">
        <f>"00000000"</f>
        <v>00000000</v>
      </c>
      <c r="I471" t="s">
        <v>39</v>
      </c>
      <c r="J471"/>
      <c r="K471">
        <v>254.24</v>
      </c>
      <c r="L471">
        <v>0.0</v>
      </c>
      <c r="M471"/>
      <c r="N471"/>
      <c r="O471">
        <v>45.76</v>
      </c>
      <c r="P471">
        <v>0.0</v>
      </c>
      <c r="Q471">
        <v>300.0</v>
      </c>
      <c r="R471"/>
      <c r="S471"/>
      <c r="T471"/>
      <c r="U471"/>
      <c r="V471"/>
      <c r="W471">
        <v>18</v>
      </c>
    </row>
    <row r="472" spans="1:23">
      <c r="A472"/>
      <c r="B472" t="s">
        <v>64</v>
      </c>
      <c r="C472" t="s">
        <v>64</v>
      </c>
      <c r="D472" t="s">
        <v>37</v>
      </c>
      <c r="E472" t="s">
        <v>38</v>
      </c>
      <c r="F472" t="str">
        <f>"0000580"</f>
        <v>0000580</v>
      </c>
      <c r="G472">
        <v>1</v>
      </c>
      <c r="H472" t="str">
        <f>"00000000"</f>
        <v>00000000</v>
      </c>
      <c r="I472" t="s">
        <v>39</v>
      </c>
      <c r="J472"/>
      <c r="K472">
        <v>203.39</v>
      </c>
      <c r="L472">
        <v>0.0</v>
      </c>
      <c r="M472"/>
      <c r="N472"/>
      <c r="O472">
        <v>36.61</v>
      </c>
      <c r="P472">
        <v>0.0</v>
      </c>
      <c r="Q472">
        <v>240.0</v>
      </c>
      <c r="R472"/>
      <c r="S472"/>
      <c r="T472"/>
      <c r="U472"/>
      <c r="V472"/>
      <c r="W472">
        <v>18</v>
      </c>
    </row>
    <row r="473" spans="1:23">
      <c r="A473"/>
      <c r="B473" t="s">
        <v>64</v>
      </c>
      <c r="C473" t="s">
        <v>64</v>
      </c>
      <c r="D473" t="s">
        <v>37</v>
      </c>
      <c r="E473" t="s">
        <v>38</v>
      </c>
      <c r="F473" t="str">
        <f>"0000581"</f>
        <v>0000581</v>
      </c>
      <c r="G473">
        <v>1</v>
      </c>
      <c r="H473" t="str">
        <f>"00000000"</f>
        <v>00000000</v>
      </c>
      <c r="I473" t="s">
        <v>39</v>
      </c>
      <c r="J473"/>
      <c r="K473">
        <v>330.51</v>
      </c>
      <c r="L473">
        <v>0.0</v>
      </c>
      <c r="M473"/>
      <c r="N473"/>
      <c r="O473">
        <v>59.49</v>
      </c>
      <c r="P473">
        <v>0.0</v>
      </c>
      <c r="Q473">
        <v>390.0</v>
      </c>
      <c r="R473"/>
      <c r="S473"/>
      <c r="T473"/>
      <c r="U473"/>
      <c r="V473"/>
      <c r="W473">
        <v>18</v>
      </c>
    </row>
    <row r="474" spans="1:23">
      <c r="A474"/>
      <c r="B474" t="s">
        <v>64</v>
      </c>
      <c r="C474" t="s">
        <v>64</v>
      </c>
      <c r="D474" t="s">
        <v>37</v>
      </c>
      <c r="E474" t="s">
        <v>38</v>
      </c>
      <c r="F474" t="str">
        <f>"0000582"</f>
        <v>0000582</v>
      </c>
      <c r="G474">
        <v>1</v>
      </c>
      <c r="H474" t="str">
        <f>"00000000"</f>
        <v>00000000</v>
      </c>
      <c r="I474" t="s">
        <v>39</v>
      </c>
      <c r="J474"/>
      <c r="K474">
        <v>254.24</v>
      </c>
      <c r="L474">
        <v>0.0</v>
      </c>
      <c r="M474"/>
      <c r="N474"/>
      <c r="O474">
        <v>45.76</v>
      </c>
      <c r="P474">
        <v>0.0</v>
      </c>
      <c r="Q474">
        <v>300.0</v>
      </c>
      <c r="R474"/>
      <c r="S474"/>
      <c r="T474"/>
      <c r="U474"/>
      <c r="V474"/>
      <c r="W474">
        <v>18</v>
      </c>
    </row>
    <row r="475" spans="1:23">
      <c r="A475"/>
      <c r="B475" t="s">
        <v>64</v>
      </c>
      <c r="C475" t="s">
        <v>64</v>
      </c>
      <c r="D475" t="s">
        <v>37</v>
      </c>
      <c r="E475" t="s">
        <v>38</v>
      </c>
      <c r="F475" t="str">
        <f>"0000583"</f>
        <v>0000583</v>
      </c>
      <c r="G475">
        <v>1</v>
      </c>
      <c r="H475" t="str">
        <f>"00000000"</f>
        <v>00000000</v>
      </c>
      <c r="I475" t="s">
        <v>39</v>
      </c>
      <c r="J475"/>
      <c r="K475">
        <v>228.81</v>
      </c>
      <c r="L475">
        <v>0.0</v>
      </c>
      <c r="M475"/>
      <c r="N475"/>
      <c r="O475">
        <v>41.19</v>
      </c>
      <c r="P475">
        <v>0.0</v>
      </c>
      <c r="Q475">
        <v>270.0</v>
      </c>
      <c r="R475"/>
      <c r="S475"/>
      <c r="T475"/>
      <c r="U475"/>
      <c r="V475"/>
      <c r="W475">
        <v>18</v>
      </c>
    </row>
    <row r="476" spans="1:23">
      <c r="A476"/>
      <c r="B476" t="s">
        <v>64</v>
      </c>
      <c r="C476" t="s">
        <v>64</v>
      </c>
      <c r="D476" t="s">
        <v>37</v>
      </c>
      <c r="E476" t="s">
        <v>38</v>
      </c>
      <c r="F476" t="str">
        <f>"0000584"</f>
        <v>0000584</v>
      </c>
      <c r="G476">
        <v>1</v>
      </c>
      <c r="H476" t="str">
        <f>"00000000"</f>
        <v>00000000</v>
      </c>
      <c r="I476" t="s">
        <v>39</v>
      </c>
      <c r="J476"/>
      <c r="K476">
        <v>406.78</v>
      </c>
      <c r="L476">
        <v>0.0</v>
      </c>
      <c r="M476"/>
      <c r="N476"/>
      <c r="O476">
        <v>73.22</v>
      </c>
      <c r="P476">
        <v>0.0</v>
      </c>
      <c r="Q476">
        <v>480.0</v>
      </c>
      <c r="R476"/>
      <c r="S476"/>
      <c r="T476"/>
      <c r="U476"/>
      <c r="V476"/>
      <c r="W476">
        <v>18</v>
      </c>
    </row>
    <row r="477" spans="1:23">
      <c r="A477"/>
      <c r="B477" t="s">
        <v>64</v>
      </c>
      <c r="C477" t="s">
        <v>64</v>
      </c>
      <c r="D477" t="s">
        <v>37</v>
      </c>
      <c r="E477" t="s">
        <v>38</v>
      </c>
      <c r="F477" t="str">
        <f>"0000585"</f>
        <v>0000585</v>
      </c>
      <c r="G477">
        <v>1</v>
      </c>
      <c r="H477" t="str">
        <f>"00000000"</f>
        <v>00000000</v>
      </c>
      <c r="I477" t="s">
        <v>39</v>
      </c>
      <c r="J477"/>
      <c r="K477">
        <v>381.36</v>
      </c>
      <c r="L477">
        <v>0.0</v>
      </c>
      <c r="M477"/>
      <c r="N477"/>
      <c r="O477">
        <v>68.64</v>
      </c>
      <c r="P477">
        <v>0.0</v>
      </c>
      <c r="Q477">
        <v>450.0</v>
      </c>
      <c r="R477"/>
      <c r="S477"/>
      <c r="T477"/>
      <c r="U477"/>
      <c r="V477"/>
      <c r="W477">
        <v>18</v>
      </c>
    </row>
    <row r="478" spans="1:23">
      <c r="A478"/>
      <c r="B478" t="s">
        <v>64</v>
      </c>
      <c r="C478" t="s">
        <v>64</v>
      </c>
      <c r="D478" t="s">
        <v>37</v>
      </c>
      <c r="E478" t="s">
        <v>38</v>
      </c>
      <c r="F478" t="str">
        <f>"0000586"</f>
        <v>0000586</v>
      </c>
      <c r="G478">
        <v>1</v>
      </c>
      <c r="H478" t="str">
        <f>"00000000"</f>
        <v>00000000</v>
      </c>
      <c r="I478" t="s">
        <v>39</v>
      </c>
      <c r="J478"/>
      <c r="K478">
        <v>254.24</v>
      </c>
      <c r="L478">
        <v>0.0</v>
      </c>
      <c r="M478"/>
      <c r="N478"/>
      <c r="O478">
        <v>45.76</v>
      </c>
      <c r="P478">
        <v>0.0</v>
      </c>
      <c r="Q478">
        <v>300.0</v>
      </c>
      <c r="R478"/>
      <c r="S478"/>
      <c r="T478"/>
      <c r="U478"/>
      <c r="V478"/>
      <c r="W478">
        <v>18</v>
      </c>
    </row>
    <row r="479" spans="1:23">
      <c r="A479"/>
      <c r="B479" t="s">
        <v>64</v>
      </c>
      <c r="C479" t="s">
        <v>64</v>
      </c>
      <c r="D479" t="s">
        <v>37</v>
      </c>
      <c r="E479" t="s">
        <v>38</v>
      </c>
      <c r="F479" t="str">
        <f>"0000587"</f>
        <v>0000587</v>
      </c>
      <c r="G479">
        <v>1</v>
      </c>
      <c r="H479" t="str">
        <f>"00000000"</f>
        <v>00000000</v>
      </c>
      <c r="I479" t="s">
        <v>39</v>
      </c>
      <c r="J479"/>
      <c r="K479">
        <v>372.88</v>
      </c>
      <c r="L479">
        <v>0.0</v>
      </c>
      <c r="M479"/>
      <c r="N479"/>
      <c r="O479">
        <v>67.12</v>
      </c>
      <c r="P479">
        <v>0.0</v>
      </c>
      <c r="Q479">
        <v>440.0</v>
      </c>
      <c r="R479"/>
      <c r="S479"/>
      <c r="T479"/>
      <c r="U479"/>
      <c r="V479"/>
      <c r="W479">
        <v>18</v>
      </c>
    </row>
    <row r="480" spans="1:23">
      <c r="A480"/>
      <c r="B480" t="s">
        <v>64</v>
      </c>
      <c r="C480" t="s">
        <v>64</v>
      </c>
      <c r="D480" t="s">
        <v>37</v>
      </c>
      <c r="E480" t="s">
        <v>38</v>
      </c>
      <c r="F480" t="str">
        <f>"0000588"</f>
        <v>0000588</v>
      </c>
      <c r="G480">
        <v>1</v>
      </c>
      <c r="H480" t="str">
        <f>"00000000"</f>
        <v>00000000</v>
      </c>
      <c r="I480" t="s">
        <v>39</v>
      </c>
      <c r="J480"/>
      <c r="K480">
        <v>254.24</v>
      </c>
      <c r="L480">
        <v>0.0</v>
      </c>
      <c r="M480"/>
      <c r="N480"/>
      <c r="O480">
        <v>45.76</v>
      </c>
      <c r="P480">
        <v>0.0</v>
      </c>
      <c r="Q480">
        <v>300.0</v>
      </c>
      <c r="R480"/>
      <c r="S480"/>
      <c r="T480"/>
      <c r="U480"/>
      <c r="V480"/>
      <c r="W480">
        <v>18</v>
      </c>
    </row>
    <row r="481" spans="1:23">
      <c r="A481"/>
      <c r="B481" t="s">
        <v>64</v>
      </c>
      <c r="C481" t="s">
        <v>64</v>
      </c>
      <c r="D481" t="s">
        <v>37</v>
      </c>
      <c r="E481" t="s">
        <v>38</v>
      </c>
      <c r="F481" t="str">
        <f>"0000589"</f>
        <v>0000589</v>
      </c>
      <c r="G481">
        <v>1</v>
      </c>
      <c r="H481" t="str">
        <f>"00000000"</f>
        <v>00000000</v>
      </c>
      <c r="I481" t="s">
        <v>39</v>
      </c>
      <c r="J481"/>
      <c r="K481">
        <v>338.98</v>
      </c>
      <c r="L481">
        <v>0.0</v>
      </c>
      <c r="M481"/>
      <c r="N481"/>
      <c r="O481">
        <v>61.02</v>
      </c>
      <c r="P481">
        <v>0.0</v>
      </c>
      <c r="Q481">
        <v>400.0</v>
      </c>
      <c r="R481"/>
      <c r="S481"/>
      <c r="T481"/>
      <c r="U481"/>
      <c r="V481"/>
      <c r="W481">
        <v>18</v>
      </c>
    </row>
    <row r="482" spans="1:23">
      <c r="A482"/>
      <c r="B482" t="s">
        <v>64</v>
      </c>
      <c r="C482" t="s">
        <v>64</v>
      </c>
      <c r="D482" t="s">
        <v>37</v>
      </c>
      <c r="E482" t="s">
        <v>38</v>
      </c>
      <c r="F482" t="str">
        <f>"0000590"</f>
        <v>0000590</v>
      </c>
      <c r="G482">
        <v>1</v>
      </c>
      <c r="H482" t="str">
        <f>"00000000"</f>
        <v>00000000</v>
      </c>
      <c r="I482" t="s">
        <v>39</v>
      </c>
      <c r="J482"/>
      <c r="K482">
        <v>305.08</v>
      </c>
      <c r="L482">
        <v>0.0</v>
      </c>
      <c r="M482"/>
      <c r="N482"/>
      <c r="O482">
        <v>54.92</v>
      </c>
      <c r="P482">
        <v>0.0</v>
      </c>
      <c r="Q482">
        <v>360.0</v>
      </c>
      <c r="R482"/>
      <c r="S482"/>
      <c r="T482"/>
      <c r="U482"/>
      <c r="V482"/>
      <c r="W482">
        <v>18</v>
      </c>
    </row>
    <row r="483" spans="1:23">
      <c r="A483"/>
      <c r="B483" t="s">
        <v>64</v>
      </c>
      <c r="C483" t="s">
        <v>64</v>
      </c>
      <c r="D483" t="s">
        <v>37</v>
      </c>
      <c r="E483" t="s">
        <v>38</v>
      </c>
      <c r="F483" t="str">
        <f>"0000591"</f>
        <v>0000591</v>
      </c>
      <c r="G483">
        <v>1</v>
      </c>
      <c r="H483" t="str">
        <f>"00000000"</f>
        <v>00000000</v>
      </c>
      <c r="I483" t="s">
        <v>39</v>
      </c>
      <c r="J483"/>
      <c r="K483">
        <v>254.24</v>
      </c>
      <c r="L483">
        <v>0.0</v>
      </c>
      <c r="M483"/>
      <c r="N483"/>
      <c r="O483">
        <v>45.76</v>
      </c>
      <c r="P483">
        <v>0.0</v>
      </c>
      <c r="Q483">
        <v>300.0</v>
      </c>
      <c r="R483"/>
      <c r="S483"/>
      <c r="T483"/>
      <c r="U483"/>
      <c r="V483"/>
      <c r="W483">
        <v>18</v>
      </c>
    </row>
    <row r="484" spans="1:23">
      <c r="A484"/>
      <c r="B484" t="s">
        <v>64</v>
      </c>
      <c r="C484" t="s">
        <v>64</v>
      </c>
      <c r="D484" t="s">
        <v>37</v>
      </c>
      <c r="E484" t="s">
        <v>38</v>
      </c>
      <c r="F484" t="str">
        <f>"0000592"</f>
        <v>0000592</v>
      </c>
      <c r="G484">
        <v>1</v>
      </c>
      <c r="H484" t="str">
        <f>"00000000"</f>
        <v>00000000</v>
      </c>
      <c r="I484" t="s">
        <v>39</v>
      </c>
      <c r="J484"/>
      <c r="K484">
        <v>296.61</v>
      </c>
      <c r="L484">
        <v>0.0</v>
      </c>
      <c r="M484"/>
      <c r="N484"/>
      <c r="O484">
        <v>53.39</v>
      </c>
      <c r="P484">
        <v>0.0</v>
      </c>
      <c r="Q484">
        <v>350.0</v>
      </c>
      <c r="R484"/>
      <c r="S484"/>
      <c r="T484"/>
      <c r="U484"/>
      <c r="V484"/>
      <c r="W484">
        <v>18</v>
      </c>
    </row>
    <row r="485" spans="1:23">
      <c r="A485"/>
      <c r="B485" t="s">
        <v>66</v>
      </c>
      <c r="C485" t="s">
        <v>66</v>
      </c>
      <c r="D485" t="s">
        <v>37</v>
      </c>
      <c r="E485" t="s">
        <v>38</v>
      </c>
      <c r="F485" t="str">
        <f>"0000593"</f>
        <v>0000593</v>
      </c>
      <c r="G485">
        <v>1</v>
      </c>
      <c r="H485" t="str">
        <f>"00000000"</f>
        <v>00000000</v>
      </c>
      <c r="I485" t="s">
        <v>39</v>
      </c>
      <c r="J485"/>
      <c r="K485">
        <v>254.24</v>
      </c>
      <c r="L485">
        <v>0.0</v>
      </c>
      <c r="M485"/>
      <c r="N485"/>
      <c r="O485">
        <v>45.76</v>
      </c>
      <c r="P485">
        <v>0.0</v>
      </c>
      <c r="Q485">
        <v>300.0</v>
      </c>
      <c r="R485"/>
      <c r="S485"/>
      <c r="T485"/>
      <c r="U485"/>
      <c r="V485"/>
      <c r="W485">
        <v>18</v>
      </c>
    </row>
    <row r="486" spans="1:23">
      <c r="A486"/>
      <c r="B486" t="s">
        <v>66</v>
      </c>
      <c r="C486" t="s">
        <v>66</v>
      </c>
      <c r="D486" t="s">
        <v>37</v>
      </c>
      <c r="E486" t="s">
        <v>38</v>
      </c>
      <c r="F486" t="str">
        <f>"0000594"</f>
        <v>0000594</v>
      </c>
      <c r="G486">
        <v>1</v>
      </c>
      <c r="H486" t="str">
        <f>"00000000"</f>
        <v>00000000</v>
      </c>
      <c r="I486" t="s">
        <v>39</v>
      </c>
      <c r="J486"/>
      <c r="K486">
        <v>338.98</v>
      </c>
      <c r="L486">
        <v>0.0</v>
      </c>
      <c r="M486"/>
      <c r="N486"/>
      <c r="O486">
        <v>61.02</v>
      </c>
      <c r="P486">
        <v>0.0</v>
      </c>
      <c r="Q486">
        <v>400.0</v>
      </c>
      <c r="R486"/>
      <c r="S486"/>
      <c r="T486"/>
      <c r="U486"/>
      <c r="V486"/>
      <c r="W486">
        <v>18</v>
      </c>
    </row>
    <row r="487" spans="1:23">
      <c r="A487"/>
      <c r="B487" t="s">
        <v>66</v>
      </c>
      <c r="C487" t="s">
        <v>66</v>
      </c>
      <c r="D487" t="s">
        <v>37</v>
      </c>
      <c r="E487" t="s">
        <v>38</v>
      </c>
      <c r="F487" t="str">
        <f>"0000595"</f>
        <v>0000595</v>
      </c>
      <c r="G487">
        <v>1</v>
      </c>
      <c r="H487" t="str">
        <f>"00000000"</f>
        <v>00000000</v>
      </c>
      <c r="I487" t="s">
        <v>39</v>
      </c>
      <c r="J487"/>
      <c r="K487">
        <v>402.54</v>
      </c>
      <c r="L487">
        <v>0.0</v>
      </c>
      <c r="M487"/>
      <c r="N487"/>
      <c r="O487">
        <v>72.46</v>
      </c>
      <c r="P487">
        <v>0.0</v>
      </c>
      <c r="Q487">
        <v>475.0</v>
      </c>
      <c r="R487"/>
      <c r="S487"/>
      <c r="T487"/>
      <c r="U487"/>
      <c r="V487"/>
      <c r="W487">
        <v>18</v>
      </c>
    </row>
    <row r="488" spans="1:23">
      <c r="A488"/>
      <c r="B488" t="s">
        <v>66</v>
      </c>
      <c r="C488" t="s">
        <v>66</v>
      </c>
      <c r="D488" t="s">
        <v>37</v>
      </c>
      <c r="E488" t="s">
        <v>38</v>
      </c>
      <c r="F488" t="str">
        <f>"0000596"</f>
        <v>0000596</v>
      </c>
      <c r="G488">
        <v>1</v>
      </c>
      <c r="H488" t="str">
        <f>"00000000"</f>
        <v>00000000</v>
      </c>
      <c r="I488" t="s">
        <v>39</v>
      </c>
      <c r="J488"/>
      <c r="K488">
        <v>338.98</v>
      </c>
      <c r="L488">
        <v>0.0</v>
      </c>
      <c r="M488"/>
      <c r="N488"/>
      <c r="O488">
        <v>61.02</v>
      </c>
      <c r="P488">
        <v>0.0</v>
      </c>
      <c r="Q488">
        <v>400.0</v>
      </c>
      <c r="R488"/>
      <c r="S488"/>
      <c r="T488"/>
      <c r="U488"/>
      <c r="V488"/>
      <c r="W488">
        <v>18</v>
      </c>
    </row>
    <row r="489" spans="1:23">
      <c r="A489"/>
      <c r="B489" t="s">
        <v>66</v>
      </c>
      <c r="C489" t="s">
        <v>66</v>
      </c>
      <c r="D489" t="s">
        <v>37</v>
      </c>
      <c r="E489" t="s">
        <v>38</v>
      </c>
      <c r="F489" t="str">
        <f>"0000597"</f>
        <v>0000597</v>
      </c>
      <c r="G489">
        <v>1</v>
      </c>
      <c r="H489" t="str">
        <f>"00000000"</f>
        <v>00000000</v>
      </c>
      <c r="I489" t="s">
        <v>39</v>
      </c>
      <c r="J489"/>
      <c r="K489">
        <v>338.98</v>
      </c>
      <c r="L489">
        <v>0.0</v>
      </c>
      <c r="M489"/>
      <c r="N489"/>
      <c r="O489">
        <v>61.02</v>
      </c>
      <c r="P489">
        <v>0.0</v>
      </c>
      <c r="Q489">
        <v>400.0</v>
      </c>
      <c r="R489"/>
      <c r="S489"/>
      <c r="T489"/>
      <c r="U489"/>
      <c r="V489"/>
      <c r="W489">
        <v>18</v>
      </c>
    </row>
    <row r="490" spans="1:23">
      <c r="A490"/>
      <c r="B490" t="s">
        <v>66</v>
      </c>
      <c r="C490" t="s">
        <v>66</v>
      </c>
      <c r="D490" t="s">
        <v>37</v>
      </c>
      <c r="E490" t="s">
        <v>38</v>
      </c>
      <c r="F490" t="str">
        <f>"0000598"</f>
        <v>0000598</v>
      </c>
      <c r="G490">
        <v>1</v>
      </c>
      <c r="H490" t="str">
        <f>"00000000"</f>
        <v>00000000</v>
      </c>
      <c r="I490" t="s">
        <v>39</v>
      </c>
      <c r="J490"/>
      <c r="K490">
        <v>406.78</v>
      </c>
      <c r="L490">
        <v>0.0</v>
      </c>
      <c r="M490"/>
      <c r="N490"/>
      <c r="O490">
        <v>73.22</v>
      </c>
      <c r="P490">
        <v>0.0</v>
      </c>
      <c r="Q490">
        <v>480.0</v>
      </c>
      <c r="R490"/>
      <c r="S490"/>
      <c r="T490"/>
      <c r="U490"/>
      <c r="V490"/>
      <c r="W490">
        <v>18</v>
      </c>
    </row>
    <row r="491" spans="1:23">
      <c r="A491"/>
      <c r="B491" t="s">
        <v>66</v>
      </c>
      <c r="C491" t="s">
        <v>66</v>
      </c>
      <c r="D491" t="s">
        <v>37</v>
      </c>
      <c r="E491" t="s">
        <v>38</v>
      </c>
      <c r="F491" t="str">
        <f>"0000599"</f>
        <v>0000599</v>
      </c>
      <c r="G491">
        <v>1</v>
      </c>
      <c r="H491" t="str">
        <f>"00000000"</f>
        <v>00000000</v>
      </c>
      <c r="I491" t="s">
        <v>39</v>
      </c>
      <c r="J491"/>
      <c r="K491">
        <v>355.93</v>
      </c>
      <c r="L491">
        <v>0.0</v>
      </c>
      <c r="M491"/>
      <c r="N491"/>
      <c r="O491">
        <v>64.07</v>
      </c>
      <c r="P491">
        <v>0.0</v>
      </c>
      <c r="Q491">
        <v>420.0</v>
      </c>
      <c r="R491"/>
      <c r="S491"/>
      <c r="T491"/>
      <c r="U491"/>
      <c r="V491"/>
      <c r="W491">
        <v>18</v>
      </c>
    </row>
    <row r="492" spans="1:23">
      <c r="A492"/>
      <c r="B492" t="s">
        <v>66</v>
      </c>
      <c r="C492" t="s">
        <v>66</v>
      </c>
      <c r="D492" t="s">
        <v>37</v>
      </c>
      <c r="E492" t="s">
        <v>38</v>
      </c>
      <c r="F492" t="str">
        <f>"0000600"</f>
        <v>0000600</v>
      </c>
      <c r="G492">
        <v>1</v>
      </c>
      <c r="H492" t="str">
        <f>"00000000"</f>
        <v>00000000</v>
      </c>
      <c r="I492" t="s">
        <v>39</v>
      </c>
      <c r="J492"/>
      <c r="K492">
        <v>271.19</v>
      </c>
      <c r="L492">
        <v>0.0</v>
      </c>
      <c r="M492"/>
      <c r="N492"/>
      <c r="O492">
        <v>48.81</v>
      </c>
      <c r="P492">
        <v>0.0</v>
      </c>
      <c r="Q492">
        <v>320.0</v>
      </c>
      <c r="R492"/>
      <c r="S492"/>
      <c r="T492"/>
      <c r="U492"/>
      <c r="V492"/>
      <c r="W492">
        <v>18</v>
      </c>
    </row>
    <row r="493" spans="1:23">
      <c r="A493"/>
      <c r="B493" t="s">
        <v>66</v>
      </c>
      <c r="C493" t="s">
        <v>66</v>
      </c>
      <c r="D493" t="s">
        <v>37</v>
      </c>
      <c r="E493" t="s">
        <v>38</v>
      </c>
      <c r="F493" t="str">
        <f>"0000601"</f>
        <v>0000601</v>
      </c>
      <c r="G493">
        <v>1</v>
      </c>
      <c r="H493" t="str">
        <f>"00000000"</f>
        <v>00000000</v>
      </c>
      <c r="I493" t="s">
        <v>39</v>
      </c>
      <c r="J493"/>
      <c r="K493">
        <v>338.98</v>
      </c>
      <c r="L493">
        <v>0.0</v>
      </c>
      <c r="M493"/>
      <c r="N493"/>
      <c r="O493">
        <v>61.02</v>
      </c>
      <c r="P493">
        <v>0.0</v>
      </c>
      <c r="Q493">
        <v>400.0</v>
      </c>
      <c r="R493"/>
      <c r="S493"/>
      <c r="T493"/>
      <c r="U493"/>
      <c r="V493"/>
      <c r="W493">
        <v>18</v>
      </c>
    </row>
    <row r="494" spans="1:23">
      <c r="A494"/>
      <c r="B494" t="s">
        <v>66</v>
      </c>
      <c r="C494" t="s">
        <v>66</v>
      </c>
      <c r="D494" t="s">
        <v>37</v>
      </c>
      <c r="E494" t="s">
        <v>38</v>
      </c>
      <c r="F494" t="str">
        <f>"0000602"</f>
        <v>0000602</v>
      </c>
      <c r="G494">
        <v>1</v>
      </c>
      <c r="H494" t="str">
        <f>"00000000"</f>
        <v>00000000</v>
      </c>
      <c r="I494" t="s">
        <v>39</v>
      </c>
      <c r="J494"/>
      <c r="K494">
        <v>220.34</v>
      </c>
      <c r="L494">
        <v>0.0</v>
      </c>
      <c r="M494"/>
      <c r="N494"/>
      <c r="O494">
        <v>39.66</v>
      </c>
      <c r="P494">
        <v>0.0</v>
      </c>
      <c r="Q494">
        <v>260.0</v>
      </c>
      <c r="R494"/>
      <c r="S494"/>
      <c r="T494"/>
      <c r="U494"/>
      <c r="V494"/>
      <c r="W494">
        <v>18</v>
      </c>
    </row>
    <row r="495" spans="1:23">
      <c r="A495"/>
      <c r="B495" t="s">
        <v>66</v>
      </c>
      <c r="C495" t="s">
        <v>66</v>
      </c>
      <c r="D495" t="s">
        <v>37</v>
      </c>
      <c r="E495" t="s">
        <v>38</v>
      </c>
      <c r="F495" t="str">
        <f>"0000603"</f>
        <v>0000603</v>
      </c>
      <c r="G495">
        <v>1</v>
      </c>
      <c r="H495" t="str">
        <f>"00000000"</f>
        <v>00000000</v>
      </c>
      <c r="I495" t="s">
        <v>39</v>
      </c>
      <c r="J495"/>
      <c r="K495">
        <v>254.24</v>
      </c>
      <c r="L495">
        <v>0.0</v>
      </c>
      <c r="M495"/>
      <c r="N495"/>
      <c r="O495">
        <v>45.76</v>
      </c>
      <c r="P495">
        <v>0.0</v>
      </c>
      <c r="Q495">
        <v>300.0</v>
      </c>
      <c r="R495"/>
      <c r="S495"/>
      <c r="T495"/>
      <c r="U495"/>
      <c r="V495"/>
      <c r="W495">
        <v>18</v>
      </c>
    </row>
    <row r="496" spans="1:23">
      <c r="A496"/>
      <c r="B496" t="s">
        <v>66</v>
      </c>
      <c r="C496" t="s">
        <v>66</v>
      </c>
      <c r="D496" t="s">
        <v>37</v>
      </c>
      <c r="E496" t="s">
        <v>38</v>
      </c>
      <c r="F496" t="str">
        <f>"0000604"</f>
        <v>0000604</v>
      </c>
      <c r="G496">
        <v>1</v>
      </c>
      <c r="H496" t="str">
        <f>"00000000"</f>
        <v>00000000</v>
      </c>
      <c r="I496" t="s">
        <v>39</v>
      </c>
      <c r="J496"/>
      <c r="K496">
        <v>194.92</v>
      </c>
      <c r="L496">
        <v>0.0</v>
      </c>
      <c r="M496"/>
      <c r="N496"/>
      <c r="O496">
        <v>35.08</v>
      </c>
      <c r="P496">
        <v>0.0</v>
      </c>
      <c r="Q496">
        <v>230.0</v>
      </c>
      <c r="R496"/>
      <c r="S496"/>
      <c r="T496"/>
      <c r="U496"/>
      <c r="V496"/>
      <c r="W496">
        <v>18</v>
      </c>
    </row>
    <row r="497" spans="1:23">
      <c r="A497"/>
      <c r="B497" t="s">
        <v>66</v>
      </c>
      <c r="C497" t="s">
        <v>66</v>
      </c>
      <c r="D497" t="s">
        <v>37</v>
      </c>
      <c r="E497" t="s">
        <v>38</v>
      </c>
      <c r="F497" t="str">
        <f>"0000605"</f>
        <v>0000605</v>
      </c>
      <c r="G497">
        <v>1</v>
      </c>
      <c r="H497" t="str">
        <f>"00000000"</f>
        <v>00000000</v>
      </c>
      <c r="I497" t="s">
        <v>39</v>
      </c>
      <c r="J497"/>
      <c r="K497">
        <v>406.78</v>
      </c>
      <c r="L497">
        <v>0.0</v>
      </c>
      <c r="M497"/>
      <c r="N497"/>
      <c r="O497">
        <v>73.22</v>
      </c>
      <c r="P497">
        <v>0.0</v>
      </c>
      <c r="Q497">
        <v>480.0</v>
      </c>
      <c r="R497"/>
      <c r="S497"/>
      <c r="T497"/>
      <c r="U497"/>
      <c r="V497"/>
      <c r="W497">
        <v>18</v>
      </c>
    </row>
    <row r="498" spans="1:23">
      <c r="A498"/>
      <c r="B498" t="s">
        <v>66</v>
      </c>
      <c r="C498" t="s">
        <v>66</v>
      </c>
      <c r="D498" t="s">
        <v>37</v>
      </c>
      <c r="E498" t="s">
        <v>38</v>
      </c>
      <c r="F498" t="str">
        <f>"0000606"</f>
        <v>0000606</v>
      </c>
      <c r="G498">
        <v>1</v>
      </c>
      <c r="H498" t="str">
        <f>"00000000"</f>
        <v>00000000</v>
      </c>
      <c r="I498" t="s">
        <v>39</v>
      </c>
      <c r="J498"/>
      <c r="K498">
        <v>254.24</v>
      </c>
      <c r="L498">
        <v>0.0</v>
      </c>
      <c r="M498"/>
      <c r="N498"/>
      <c r="O498">
        <v>45.76</v>
      </c>
      <c r="P498">
        <v>0.0</v>
      </c>
      <c r="Q498">
        <v>300.0</v>
      </c>
      <c r="R498"/>
      <c r="S498"/>
      <c r="T498"/>
      <c r="U498"/>
      <c r="V498"/>
      <c r="W498">
        <v>18</v>
      </c>
    </row>
    <row r="499" spans="1:23">
      <c r="A499"/>
      <c r="B499" t="s">
        <v>66</v>
      </c>
      <c r="C499" t="s">
        <v>66</v>
      </c>
      <c r="D499" t="s">
        <v>37</v>
      </c>
      <c r="E499" t="s">
        <v>38</v>
      </c>
      <c r="F499" t="str">
        <f>"0000607"</f>
        <v>0000607</v>
      </c>
      <c r="G499">
        <v>1</v>
      </c>
      <c r="H499" t="str">
        <f>"00000000"</f>
        <v>00000000</v>
      </c>
      <c r="I499" t="s">
        <v>39</v>
      </c>
      <c r="J499"/>
      <c r="K499">
        <v>406.78</v>
      </c>
      <c r="L499">
        <v>0.0</v>
      </c>
      <c r="M499"/>
      <c r="N499"/>
      <c r="O499">
        <v>73.22</v>
      </c>
      <c r="P499">
        <v>0.0</v>
      </c>
      <c r="Q499">
        <v>480.0</v>
      </c>
      <c r="R499"/>
      <c r="S499"/>
      <c r="T499"/>
      <c r="U499"/>
      <c r="V499"/>
      <c r="W499">
        <v>18</v>
      </c>
    </row>
    <row r="500" spans="1:23">
      <c r="A500"/>
      <c r="B500" t="s">
        <v>66</v>
      </c>
      <c r="C500" t="s">
        <v>66</v>
      </c>
      <c r="D500" t="s">
        <v>37</v>
      </c>
      <c r="E500" t="s">
        <v>38</v>
      </c>
      <c r="F500" t="str">
        <f>"0000608"</f>
        <v>0000608</v>
      </c>
      <c r="G500">
        <v>1</v>
      </c>
      <c r="H500" t="str">
        <f>"00000000"</f>
        <v>00000000</v>
      </c>
      <c r="I500" t="s">
        <v>39</v>
      </c>
      <c r="J500"/>
      <c r="K500">
        <v>355.93</v>
      </c>
      <c r="L500">
        <v>0.0</v>
      </c>
      <c r="M500"/>
      <c r="N500"/>
      <c r="O500">
        <v>64.07</v>
      </c>
      <c r="P500">
        <v>0.0</v>
      </c>
      <c r="Q500">
        <v>420.0</v>
      </c>
      <c r="R500"/>
      <c r="S500"/>
      <c r="T500"/>
      <c r="U500"/>
      <c r="V500"/>
      <c r="W500">
        <v>18</v>
      </c>
    </row>
    <row r="501" spans="1:23">
      <c r="A501"/>
      <c r="B501" t="s">
        <v>66</v>
      </c>
      <c r="C501" t="s">
        <v>66</v>
      </c>
      <c r="D501" t="s">
        <v>37</v>
      </c>
      <c r="E501" t="s">
        <v>38</v>
      </c>
      <c r="F501" t="str">
        <f>"0000609"</f>
        <v>0000609</v>
      </c>
      <c r="G501">
        <v>1</v>
      </c>
      <c r="H501" t="str">
        <f>"00000000"</f>
        <v>00000000</v>
      </c>
      <c r="I501" t="s">
        <v>39</v>
      </c>
      <c r="J501"/>
      <c r="K501">
        <v>338.98</v>
      </c>
      <c r="L501">
        <v>0.0</v>
      </c>
      <c r="M501"/>
      <c r="N501"/>
      <c r="O501">
        <v>61.02</v>
      </c>
      <c r="P501">
        <v>0.0</v>
      </c>
      <c r="Q501">
        <v>400.0</v>
      </c>
      <c r="R501"/>
      <c r="S501"/>
      <c r="T501"/>
      <c r="U501"/>
      <c r="V501"/>
      <c r="W501">
        <v>18</v>
      </c>
    </row>
    <row r="502" spans="1:23">
      <c r="A502"/>
      <c r="B502" t="s">
        <v>66</v>
      </c>
      <c r="C502" t="s">
        <v>66</v>
      </c>
      <c r="D502" t="s">
        <v>37</v>
      </c>
      <c r="E502" t="s">
        <v>38</v>
      </c>
      <c r="F502" t="str">
        <f>"0000610"</f>
        <v>0000610</v>
      </c>
      <c r="G502">
        <v>1</v>
      </c>
      <c r="H502" t="str">
        <f>"00000000"</f>
        <v>00000000</v>
      </c>
      <c r="I502" t="s">
        <v>39</v>
      </c>
      <c r="J502"/>
      <c r="K502">
        <v>254.24</v>
      </c>
      <c r="L502">
        <v>0.0</v>
      </c>
      <c r="M502"/>
      <c r="N502"/>
      <c r="O502">
        <v>45.76</v>
      </c>
      <c r="P502">
        <v>0.0</v>
      </c>
      <c r="Q502">
        <v>300.0</v>
      </c>
      <c r="R502"/>
      <c r="S502"/>
      <c r="T502"/>
      <c r="U502"/>
      <c r="V502"/>
      <c r="W502">
        <v>18</v>
      </c>
    </row>
    <row r="503" spans="1:23">
      <c r="A503"/>
      <c r="B503" t="s">
        <v>66</v>
      </c>
      <c r="C503" t="s">
        <v>66</v>
      </c>
      <c r="D503" t="s">
        <v>37</v>
      </c>
      <c r="E503" t="s">
        <v>38</v>
      </c>
      <c r="F503" t="str">
        <f>"0000611"</f>
        <v>0000611</v>
      </c>
      <c r="G503">
        <v>1</v>
      </c>
      <c r="H503" t="str">
        <f>"00000000"</f>
        <v>00000000</v>
      </c>
      <c r="I503" t="s">
        <v>39</v>
      </c>
      <c r="J503"/>
      <c r="K503">
        <v>254.24</v>
      </c>
      <c r="L503">
        <v>0.0</v>
      </c>
      <c r="M503"/>
      <c r="N503"/>
      <c r="O503">
        <v>45.76</v>
      </c>
      <c r="P503">
        <v>0.0</v>
      </c>
      <c r="Q503">
        <v>300.0</v>
      </c>
      <c r="R503"/>
      <c r="S503"/>
      <c r="T503"/>
      <c r="U503"/>
      <c r="V503"/>
      <c r="W503">
        <v>18</v>
      </c>
    </row>
    <row r="504" spans="1:23">
      <c r="A504"/>
      <c r="B504" t="s">
        <v>66</v>
      </c>
      <c r="C504" t="s">
        <v>66</v>
      </c>
      <c r="D504" t="s">
        <v>37</v>
      </c>
      <c r="E504" t="s">
        <v>38</v>
      </c>
      <c r="F504" t="str">
        <f>"0000612"</f>
        <v>0000612</v>
      </c>
      <c r="G504">
        <v>1</v>
      </c>
      <c r="H504" t="str">
        <f>"00000000"</f>
        <v>00000000</v>
      </c>
      <c r="I504" t="s">
        <v>39</v>
      </c>
      <c r="J504"/>
      <c r="K504">
        <v>296.61</v>
      </c>
      <c r="L504">
        <v>0.0</v>
      </c>
      <c r="M504"/>
      <c r="N504"/>
      <c r="O504">
        <v>53.39</v>
      </c>
      <c r="P504">
        <v>0.0</v>
      </c>
      <c r="Q504">
        <v>350.0</v>
      </c>
      <c r="R504"/>
      <c r="S504"/>
      <c r="T504"/>
      <c r="U504"/>
      <c r="V504"/>
      <c r="W504">
        <v>18</v>
      </c>
    </row>
    <row r="505" spans="1:23">
      <c r="A505"/>
      <c r="B505" t="s">
        <v>66</v>
      </c>
      <c r="C505" t="s">
        <v>66</v>
      </c>
      <c r="D505" t="s">
        <v>37</v>
      </c>
      <c r="E505" t="s">
        <v>38</v>
      </c>
      <c r="F505" t="str">
        <f>"0000613"</f>
        <v>0000613</v>
      </c>
      <c r="G505">
        <v>1</v>
      </c>
      <c r="H505" t="str">
        <f>"00000000"</f>
        <v>00000000</v>
      </c>
      <c r="I505" t="s">
        <v>39</v>
      </c>
      <c r="J505"/>
      <c r="K505">
        <v>322.03</v>
      </c>
      <c r="L505">
        <v>0.0</v>
      </c>
      <c r="M505"/>
      <c r="N505"/>
      <c r="O505">
        <v>57.97</v>
      </c>
      <c r="P505">
        <v>0.0</v>
      </c>
      <c r="Q505">
        <v>380.0</v>
      </c>
      <c r="R505"/>
      <c r="S505"/>
      <c r="T505"/>
      <c r="U505"/>
      <c r="V505"/>
      <c r="W505">
        <v>18</v>
      </c>
    </row>
    <row r="506" spans="1:23">
      <c r="A506"/>
      <c r="B506" t="s">
        <v>66</v>
      </c>
      <c r="C506" t="s">
        <v>66</v>
      </c>
      <c r="D506" t="s">
        <v>37</v>
      </c>
      <c r="E506" t="s">
        <v>38</v>
      </c>
      <c r="F506" t="str">
        <f>"0000614"</f>
        <v>0000614</v>
      </c>
      <c r="G506">
        <v>1</v>
      </c>
      <c r="H506" t="str">
        <f>"00000000"</f>
        <v>00000000</v>
      </c>
      <c r="I506" t="s">
        <v>39</v>
      </c>
      <c r="J506"/>
      <c r="K506">
        <v>355.93</v>
      </c>
      <c r="L506">
        <v>0.0</v>
      </c>
      <c r="M506"/>
      <c r="N506"/>
      <c r="O506">
        <v>64.07</v>
      </c>
      <c r="P506">
        <v>0.0</v>
      </c>
      <c r="Q506">
        <v>420.0</v>
      </c>
      <c r="R506"/>
      <c r="S506"/>
      <c r="T506"/>
      <c r="U506"/>
      <c r="V506"/>
      <c r="W506">
        <v>18</v>
      </c>
    </row>
    <row r="507" spans="1:23">
      <c r="A507"/>
      <c r="B507" t="s">
        <v>66</v>
      </c>
      <c r="C507" t="s">
        <v>66</v>
      </c>
      <c r="D507" t="s">
        <v>37</v>
      </c>
      <c r="E507" t="s">
        <v>38</v>
      </c>
      <c r="F507" t="str">
        <f>"0000615"</f>
        <v>0000615</v>
      </c>
      <c r="G507">
        <v>1</v>
      </c>
      <c r="H507" t="str">
        <f>"00000000"</f>
        <v>00000000</v>
      </c>
      <c r="I507" t="s">
        <v>39</v>
      </c>
      <c r="J507"/>
      <c r="K507">
        <v>177.97</v>
      </c>
      <c r="L507">
        <v>0.0</v>
      </c>
      <c r="M507"/>
      <c r="N507"/>
      <c r="O507">
        <v>32.03</v>
      </c>
      <c r="P507">
        <v>0.0</v>
      </c>
      <c r="Q507">
        <v>210.0</v>
      </c>
      <c r="R507"/>
      <c r="S507"/>
      <c r="T507"/>
      <c r="U507"/>
      <c r="V507"/>
      <c r="W507">
        <v>18</v>
      </c>
    </row>
    <row r="508" spans="1:23">
      <c r="A508"/>
      <c r="B508" t="s">
        <v>66</v>
      </c>
      <c r="C508" t="s">
        <v>66</v>
      </c>
      <c r="D508" t="s">
        <v>37</v>
      </c>
      <c r="E508" t="s">
        <v>38</v>
      </c>
      <c r="F508" t="str">
        <f>"0000616"</f>
        <v>0000616</v>
      </c>
      <c r="G508">
        <v>1</v>
      </c>
      <c r="H508" t="str">
        <f>"00000000"</f>
        <v>00000000</v>
      </c>
      <c r="I508" t="s">
        <v>39</v>
      </c>
      <c r="J508"/>
      <c r="K508">
        <v>296.61</v>
      </c>
      <c r="L508">
        <v>0.0</v>
      </c>
      <c r="M508"/>
      <c r="N508"/>
      <c r="O508">
        <v>53.39</v>
      </c>
      <c r="P508">
        <v>0.0</v>
      </c>
      <c r="Q508">
        <v>350.0</v>
      </c>
      <c r="R508"/>
      <c r="S508"/>
      <c r="T508"/>
      <c r="U508"/>
      <c r="V508"/>
      <c r="W508">
        <v>18</v>
      </c>
    </row>
    <row r="509" spans="1:23">
      <c r="A509"/>
      <c r="B509" t="s">
        <v>66</v>
      </c>
      <c r="C509" t="s">
        <v>66</v>
      </c>
      <c r="D509" t="s">
        <v>37</v>
      </c>
      <c r="E509" t="s">
        <v>38</v>
      </c>
      <c r="F509" t="str">
        <f>"0000617"</f>
        <v>0000617</v>
      </c>
      <c r="G509">
        <v>1</v>
      </c>
      <c r="H509" t="str">
        <f>"00000000"</f>
        <v>00000000</v>
      </c>
      <c r="I509" t="s">
        <v>39</v>
      </c>
      <c r="J509"/>
      <c r="K509">
        <v>296.61</v>
      </c>
      <c r="L509">
        <v>0.0</v>
      </c>
      <c r="M509"/>
      <c r="N509"/>
      <c r="O509">
        <v>53.39</v>
      </c>
      <c r="P509">
        <v>0.0</v>
      </c>
      <c r="Q509">
        <v>350.0</v>
      </c>
      <c r="R509"/>
      <c r="S509"/>
      <c r="T509"/>
      <c r="U509"/>
      <c r="V509"/>
      <c r="W509">
        <v>18</v>
      </c>
    </row>
    <row r="510" spans="1:23">
      <c r="A510"/>
      <c r="B510" t="s">
        <v>66</v>
      </c>
      <c r="C510" t="s">
        <v>66</v>
      </c>
      <c r="D510" t="s">
        <v>37</v>
      </c>
      <c r="E510" t="s">
        <v>38</v>
      </c>
      <c r="F510" t="str">
        <f>"0000618"</f>
        <v>0000618</v>
      </c>
      <c r="G510">
        <v>1</v>
      </c>
      <c r="H510" t="str">
        <f>"00000000"</f>
        <v>00000000</v>
      </c>
      <c r="I510" t="s">
        <v>39</v>
      </c>
      <c r="J510"/>
      <c r="K510">
        <v>381.36</v>
      </c>
      <c r="L510">
        <v>0.0</v>
      </c>
      <c r="M510"/>
      <c r="N510"/>
      <c r="O510">
        <v>68.64</v>
      </c>
      <c r="P510">
        <v>0.0</v>
      </c>
      <c r="Q510">
        <v>450.0</v>
      </c>
      <c r="R510"/>
      <c r="S510"/>
      <c r="T510"/>
      <c r="U510"/>
      <c r="V510"/>
      <c r="W510">
        <v>18</v>
      </c>
    </row>
    <row r="511" spans="1:23">
      <c r="A511"/>
      <c r="B511" t="s">
        <v>66</v>
      </c>
      <c r="C511" t="s">
        <v>66</v>
      </c>
      <c r="D511" t="s">
        <v>37</v>
      </c>
      <c r="E511" t="s">
        <v>38</v>
      </c>
      <c r="F511" t="str">
        <f>"0000619"</f>
        <v>0000619</v>
      </c>
      <c r="G511">
        <v>1</v>
      </c>
      <c r="H511" t="str">
        <f>"00000000"</f>
        <v>00000000</v>
      </c>
      <c r="I511" t="s">
        <v>39</v>
      </c>
      <c r="J511"/>
      <c r="K511">
        <v>279.66</v>
      </c>
      <c r="L511">
        <v>0.0</v>
      </c>
      <c r="M511"/>
      <c r="N511"/>
      <c r="O511">
        <v>50.34</v>
      </c>
      <c r="P511">
        <v>0.0</v>
      </c>
      <c r="Q511">
        <v>330.0</v>
      </c>
      <c r="R511"/>
      <c r="S511"/>
      <c r="T511"/>
      <c r="U511"/>
      <c r="V511"/>
      <c r="W511">
        <v>18</v>
      </c>
    </row>
    <row r="512" spans="1:23">
      <c r="A512"/>
      <c r="B512" t="s">
        <v>66</v>
      </c>
      <c r="C512" t="s">
        <v>66</v>
      </c>
      <c r="D512" t="s">
        <v>37</v>
      </c>
      <c r="E512" t="s">
        <v>38</v>
      </c>
      <c r="F512" t="str">
        <f>"0000620"</f>
        <v>0000620</v>
      </c>
      <c r="G512">
        <v>1</v>
      </c>
      <c r="H512" t="str">
        <f>"00000000"</f>
        <v>00000000</v>
      </c>
      <c r="I512" t="s">
        <v>39</v>
      </c>
      <c r="J512"/>
      <c r="K512">
        <v>296.61</v>
      </c>
      <c r="L512">
        <v>0.0</v>
      </c>
      <c r="M512"/>
      <c r="N512"/>
      <c r="O512">
        <v>53.39</v>
      </c>
      <c r="P512">
        <v>0.0</v>
      </c>
      <c r="Q512">
        <v>350.0</v>
      </c>
      <c r="R512"/>
      <c r="S512"/>
      <c r="T512"/>
      <c r="U512"/>
      <c r="V512"/>
      <c r="W512">
        <v>18</v>
      </c>
    </row>
    <row r="513" spans="1:23">
      <c r="A513"/>
      <c r="B513" t="s">
        <v>67</v>
      </c>
      <c r="C513" t="s">
        <v>67</v>
      </c>
      <c r="D513" t="s">
        <v>37</v>
      </c>
      <c r="E513" t="s">
        <v>38</v>
      </c>
      <c r="F513" t="str">
        <f>"0000621"</f>
        <v>0000621</v>
      </c>
      <c r="G513">
        <v>1</v>
      </c>
      <c r="H513" t="str">
        <f>"00000000"</f>
        <v>00000000</v>
      </c>
      <c r="I513" t="s">
        <v>39</v>
      </c>
      <c r="J513"/>
      <c r="K513">
        <v>305.08</v>
      </c>
      <c r="L513">
        <v>0.0</v>
      </c>
      <c r="M513"/>
      <c r="N513"/>
      <c r="O513">
        <v>54.92</v>
      </c>
      <c r="P513">
        <v>0.0</v>
      </c>
      <c r="Q513">
        <v>360.0</v>
      </c>
      <c r="R513"/>
      <c r="S513"/>
      <c r="T513"/>
      <c r="U513"/>
      <c r="V513"/>
      <c r="W513">
        <v>18</v>
      </c>
    </row>
    <row r="514" spans="1:23">
      <c r="A514"/>
      <c r="B514" t="s">
        <v>67</v>
      </c>
      <c r="C514" t="s">
        <v>67</v>
      </c>
      <c r="D514" t="s">
        <v>37</v>
      </c>
      <c r="E514" t="s">
        <v>38</v>
      </c>
      <c r="F514" t="str">
        <f>"0000622"</f>
        <v>0000622</v>
      </c>
      <c r="G514">
        <v>1</v>
      </c>
      <c r="H514" t="str">
        <f>"00000000"</f>
        <v>00000000</v>
      </c>
      <c r="I514" t="s">
        <v>39</v>
      </c>
      <c r="J514"/>
      <c r="K514">
        <v>338.98</v>
      </c>
      <c r="L514">
        <v>0.0</v>
      </c>
      <c r="M514"/>
      <c r="N514"/>
      <c r="O514">
        <v>61.02</v>
      </c>
      <c r="P514">
        <v>0.0</v>
      </c>
      <c r="Q514">
        <v>400.0</v>
      </c>
      <c r="R514"/>
      <c r="S514"/>
      <c r="T514"/>
      <c r="U514"/>
      <c r="V514"/>
      <c r="W514">
        <v>18</v>
      </c>
    </row>
    <row r="515" spans="1:23">
      <c r="A515"/>
      <c r="B515" t="s">
        <v>67</v>
      </c>
      <c r="C515" t="s">
        <v>67</v>
      </c>
      <c r="D515" t="s">
        <v>37</v>
      </c>
      <c r="E515" t="s">
        <v>38</v>
      </c>
      <c r="F515" t="str">
        <f>"0000623"</f>
        <v>0000623</v>
      </c>
      <c r="G515">
        <v>1</v>
      </c>
      <c r="H515" t="str">
        <f>"00000000"</f>
        <v>00000000</v>
      </c>
      <c r="I515" t="s">
        <v>39</v>
      </c>
      <c r="J515"/>
      <c r="K515">
        <v>355.93</v>
      </c>
      <c r="L515">
        <v>0.0</v>
      </c>
      <c r="M515"/>
      <c r="N515"/>
      <c r="O515">
        <v>64.07</v>
      </c>
      <c r="P515">
        <v>0.0</v>
      </c>
      <c r="Q515">
        <v>420.0</v>
      </c>
      <c r="R515"/>
      <c r="S515"/>
      <c r="T515"/>
      <c r="U515"/>
      <c r="V515"/>
      <c r="W515">
        <v>18</v>
      </c>
    </row>
    <row r="516" spans="1:23">
      <c r="A516"/>
      <c r="B516" t="s">
        <v>67</v>
      </c>
      <c r="C516" t="s">
        <v>67</v>
      </c>
      <c r="D516" t="s">
        <v>37</v>
      </c>
      <c r="E516" t="s">
        <v>38</v>
      </c>
      <c r="F516" t="str">
        <f>"0000624"</f>
        <v>0000624</v>
      </c>
      <c r="G516">
        <v>1</v>
      </c>
      <c r="H516" t="str">
        <f>"00000000"</f>
        <v>00000000</v>
      </c>
      <c r="I516" t="s">
        <v>39</v>
      </c>
      <c r="J516"/>
      <c r="K516">
        <v>275.42</v>
      </c>
      <c r="L516">
        <v>0.0</v>
      </c>
      <c r="M516"/>
      <c r="N516"/>
      <c r="O516">
        <v>49.58</v>
      </c>
      <c r="P516">
        <v>0.0</v>
      </c>
      <c r="Q516">
        <v>325.0</v>
      </c>
      <c r="R516"/>
      <c r="S516"/>
      <c r="T516"/>
      <c r="U516"/>
      <c r="V516"/>
      <c r="W516">
        <v>18</v>
      </c>
    </row>
    <row r="517" spans="1:23">
      <c r="A517"/>
      <c r="B517" t="s">
        <v>67</v>
      </c>
      <c r="C517" t="s">
        <v>67</v>
      </c>
      <c r="D517" t="s">
        <v>37</v>
      </c>
      <c r="E517" t="s">
        <v>38</v>
      </c>
      <c r="F517" t="str">
        <f>"0000625"</f>
        <v>0000625</v>
      </c>
      <c r="G517">
        <v>1</v>
      </c>
      <c r="H517" t="str">
        <f>"00000000"</f>
        <v>00000000</v>
      </c>
      <c r="I517" t="s">
        <v>39</v>
      </c>
      <c r="J517"/>
      <c r="K517">
        <v>296.61</v>
      </c>
      <c r="L517">
        <v>0.0</v>
      </c>
      <c r="M517"/>
      <c r="N517"/>
      <c r="O517">
        <v>53.39</v>
      </c>
      <c r="P517">
        <v>0.0</v>
      </c>
      <c r="Q517">
        <v>350.0</v>
      </c>
      <c r="R517"/>
      <c r="S517"/>
      <c r="T517"/>
      <c r="U517"/>
      <c r="V517"/>
      <c r="W517">
        <v>18</v>
      </c>
    </row>
    <row r="518" spans="1:23">
      <c r="A518"/>
      <c r="B518" t="s">
        <v>67</v>
      </c>
      <c r="C518" t="s">
        <v>67</v>
      </c>
      <c r="D518" t="s">
        <v>37</v>
      </c>
      <c r="E518" t="s">
        <v>38</v>
      </c>
      <c r="F518" t="str">
        <f>"0000626"</f>
        <v>0000626</v>
      </c>
      <c r="G518">
        <v>1</v>
      </c>
      <c r="H518" t="str">
        <f>"00000000"</f>
        <v>00000000</v>
      </c>
      <c r="I518" t="s">
        <v>39</v>
      </c>
      <c r="J518"/>
      <c r="K518">
        <v>330.51</v>
      </c>
      <c r="L518">
        <v>0.0</v>
      </c>
      <c r="M518"/>
      <c r="N518"/>
      <c r="O518">
        <v>59.49</v>
      </c>
      <c r="P518">
        <v>0.0</v>
      </c>
      <c r="Q518">
        <v>390.0</v>
      </c>
      <c r="R518"/>
      <c r="S518"/>
      <c r="T518"/>
      <c r="U518"/>
      <c r="V518"/>
      <c r="W518">
        <v>18</v>
      </c>
    </row>
    <row r="519" spans="1:23">
      <c r="A519"/>
      <c r="B519" t="s">
        <v>67</v>
      </c>
      <c r="C519" t="s">
        <v>67</v>
      </c>
      <c r="D519" t="s">
        <v>37</v>
      </c>
      <c r="E519" t="s">
        <v>38</v>
      </c>
      <c r="F519" t="str">
        <f>"0000627"</f>
        <v>0000627</v>
      </c>
      <c r="G519">
        <v>1</v>
      </c>
      <c r="H519" t="str">
        <f>"00000000"</f>
        <v>00000000</v>
      </c>
      <c r="I519" t="s">
        <v>39</v>
      </c>
      <c r="J519"/>
      <c r="K519">
        <v>338.98</v>
      </c>
      <c r="L519">
        <v>0.0</v>
      </c>
      <c r="M519"/>
      <c r="N519"/>
      <c r="O519">
        <v>61.02</v>
      </c>
      <c r="P519">
        <v>0.0</v>
      </c>
      <c r="Q519">
        <v>400.0</v>
      </c>
      <c r="R519"/>
      <c r="S519"/>
      <c r="T519"/>
      <c r="U519"/>
      <c r="V519"/>
      <c r="W519">
        <v>18</v>
      </c>
    </row>
    <row r="520" spans="1:23">
      <c r="A520"/>
      <c r="B520" t="s">
        <v>67</v>
      </c>
      <c r="C520" t="s">
        <v>67</v>
      </c>
      <c r="D520" t="s">
        <v>37</v>
      </c>
      <c r="E520" t="s">
        <v>38</v>
      </c>
      <c r="F520" t="str">
        <f>"0000628"</f>
        <v>0000628</v>
      </c>
      <c r="G520">
        <v>1</v>
      </c>
      <c r="H520" t="str">
        <f>"00000000"</f>
        <v>00000000</v>
      </c>
      <c r="I520" t="s">
        <v>39</v>
      </c>
      <c r="J520"/>
      <c r="K520">
        <v>402.54</v>
      </c>
      <c r="L520">
        <v>0.0</v>
      </c>
      <c r="M520"/>
      <c r="N520"/>
      <c r="O520">
        <v>72.46</v>
      </c>
      <c r="P520">
        <v>0.0</v>
      </c>
      <c r="Q520">
        <v>475.0</v>
      </c>
      <c r="R520"/>
      <c r="S520"/>
      <c r="T520"/>
      <c r="U520"/>
      <c r="V520"/>
      <c r="W520">
        <v>18</v>
      </c>
    </row>
    <row r="521" spans="1:23">
      <c r="A521"/>
      <c r="B521" t="s">
        <v>67</v>
      </c>
      <c r="C521" t="s">
        <v>67</v>
      </c>
      <c r="D521" t="s">
        <v>37</v>
      </c>
      <c r="E521" t="s">
        <v>38</v>
      </c>
      <c r="F521" t="str">
        <f>"0000629"</f>
        <v>0000629</v>
      </c>
      <c r="G521">
        <v>1</v>
      </c>
      <c r="H521" t="str">
        <f>"00000000"</f>
        <v>00000000</v>
      </c>
      <c r="I521" t="s">
        <v>39</v>
      </c>
      <c r="J521"/>
      <c r="K521">
        <v>296.61</v>
      </c>
      <c r="L521">
        <v>0.0</v>
      </c>
      <c r="M521"/>
      <c r="N521"/>
      <c r="O521">
        <v>53.39</v>
      </c>
      <c r="P521">
        <v>0.0</v>
      </c>
      <c r="Q521">
        <v>350.0</v>
      </c>
      <c r="R521"/>
      <c r="S521"/>
      <c r="T521"/>
      <c r="U521"/>
      <c r="V521"/>
      <c r="W521">
        <v>18</v>
      </c>
    </row>
    <row r="522" spans="1:23">
      <c r="A522"/>
      <c r="B522" t="s">
        <v>67</v>
      </c>
      <c r="C522" t="s">
        <v>67</v>
      </c>
      <c r="D522" t="s">
        <v>37</v>
      </c>
      <c r="E522" t="s">
        <v>38</v>
      </c>
      <c r="F522" t="str">
        <f>"0000630"</f>
        <v>0000630</v>
      </c>
      <c r="G522">
        <v>1</v>
      </c>
      <c r="H522" t="str">
        <f>"00000000"</f>
        <v>00000000</v>
      </c>
      <c r="I522" t="s">
        <v>39</v>
      </c>
      <c r="J522"/>
      <c r="K522">
        <v>338.98</v>
      </c>
      <c r="L522">
        <v>0.0</v>
      </c>
      <c r="M522"/>
      <c r="N522"/>
      <c r="O522">
        <v>61.02</v>
      </c>
      <c r="P522">
        <v>0.0</v>
      </c>
      <c r="Q522">
        <v>400.0</v>
      </c>
      <c r="R522"/>
      <c r="S522"/>
      <c r="T522"/>
      <c r="U522"/>
      <c r="V522"/>
      <c r="W522">
        <v>18</v>
      </c>
    </row>
    <row r="523" spans="1:23">
      <c r="A523"/>
      <c r="B523" t="s">
        <v>67</v>
      </c>
      <c r="C523" t="s">
        <v>67</v>
      </c>
      <c r="D523" t="s">
        <v>37</v>
      </c>
      <c r="E523" t="s">
        <v>38</v>
      </c>
      <c r="F523" t="str">
        <f>"0000631"</f>
        <v>0000631</v>
      </c>
      <c r="G523">
        <v>1</v>
      </c>
      <c r="H523" t="str">
        <f>"00000000"</f>
        <v>00000000</v>
      </c>
      <c r="I523" t="s">
        <v>39</v>
      </c>
      <c r="J523"/>
      <c r="K523">
        <v>372.88</v>
      </c>
      <c r="L523">
        <v>0.0</v>
      </c>
      <c r="M523"/>
      <c r="N523"/>
      <c r="O523">
        <v>67.12</v>
      </c>
      <c r="P523">
        <v>0.0</v>
      </c>
      <c r="Q523">
        <v>440.0</v>
      </c>
      <c r="R523"/>
      <c r="S523"/>
      <c r="T523"/>
      <c r="U523"/>
      <c r="V523"/>
      <c r="W523">
        <v>18</v>
      </c>
    </row>
    <row r="524" spans="1:23">
      <c r="A524"/>
      <c r="B524" t="s">
        <v>67</v>
      </c>
      <c r="C524" t="s">
        <v>67</v>
      </c>
      <c r="D524" t="s">
        <v>37</v>
      </c>
      <c r="E524" t="s">
        <v>38</v>
      </c>
      <c r="F524" t="str">
        <f>"0000632"</f>
        <v>0000632</v>
      </c>
      <c r="G524">
        <v>1</v>
      </c>
      <c r="H524" t="str">
        <f>"00000000"</f>
        <v>00000000</v>
      </c>
      <c r="I524" t="s">
        <v>39</v>
      </c>
      <c r="J524"/>
      <c r="K524">
        <v>254.24</v>
      </c>
      <c r="L524">
        <v>0.0</v>
      </c>
      <c r="M524"/>
      <c r="N524"/>
      <c r="O524">
        <v>45.76</v>
      </c>
      <c r="P524">
        <v>0.0</v>
      </c>
      <c r="Q524">
        <v>300.0</v>
      </c>
      <c r="R524"/>
      <c r="S524"/>
      <c r="T524"/>
      <c r="U524"/>
      <c r="V524"/>
      <c r="W524">
        <v>18</v>
      </c>
    </row>
    <row r="525" spans="1:23">
      <c r="A525"/>
      <c r="B525" t="s">
        <v>67</v>
      </c>
      <c r="C525" t="s">
        <v>67</v>
      </c>
      <c r="D525" t="s">
        <v>37</v>
      </c>
      <c r="E525" t="s">
        <v>38</v>
      </c>
      <c r="F525" t="str">
        <f>"0000633"</f>
        <v>0000633</v>
      </c>
      <c r="G525">
        <v>1</v>
      </c>
      <c r="H525" t="str">
        <f>"00000000"</f>
        <v>00000000</v>
      </c>
      <c r="I525" t="s">
        <v>39</v>
      </c>
      <c r="J525"/>
      <c r="K525">
        <v>296.61</v>
      </c>
      <c r="L525">
        <v>0.0</v>
      </c>
      <c r="M525"/>
      <c r="N525"/>
      <c r="O525">
        <v>53.39</v>
      </c>
      <c r="P525">
        <v>0.0</v>
      </c>
      <c r="Q525">
        <v>350.0</v>
      </c>
      <c r="R525"/>
      <c r="S525"/>
      <c r="T525"/>
      <c r="U525"/>
      <c r="V525"/>
      <c r="W525">
        <v>18</v>
      </c>
    </row>
    <row r="526" spans="1:23">
      <c r="A526"/>
      <c r="B526" t="s">
        <v>67</v>
      </c>
      <c r="C526" t="s">
        <v>67</v>
      </c>
      <c r="D526" t="s">
        <v>37</v>
      </c>
      <c r="E526" t="s">
        <v>38</v>
      </c>
      <c r="F526" t="str">
        <f>"0000634"</f>
        <v>0000634</v>
      </c>
      <c r="G526">
        <v>1</v>
      </c>
      <c r="H526" t="str">
        <f>"00000000"</f>
        <v>00000000</v>
      </c>
      <c r="I526" t="s">
        <v>39</v>
      </c>
      <c r="J526"/>
      <c r="K526">
        <v>279.66</v>
      </c>
      <c r="L526">
        <v>0.0</v>
      </c>
      <c r="M526"/>
      <c r="N526"/>
      <c r="O526">
        <v>50.34</v>
      </c>
      <c r="P526">
        <v>0.0</v>
      </c>
      <c r="Q526">
        <v>330.0</v>
      </c>
      <c r="R526"/>
      <c r="S526"/>
      <c r="T526"/>
      <c r="U526"/>
      <c r="V526"/>
      <c r="W526">
        <v>18</v>
      </c>
    </row>
    <row r="527" spans="1:23">
      <c r="A527"/>
      <c r="B527" t="s">
        <v>67</v>
      </c>
      <c r="C527" t="s">
        <v>67</v>
      </c>
      <c r="D527" t="s">
        <v>37</v>
      </c>
      <c r="E527" t="s">
        <v>38</v>
      </c>
      <c r="F527" t="str">
        <f>"0000635"</f>
        <v>0000635</v>
      </c>
      <c r="G527">
        <v>1</v>
      </c>
      <c r="H527" t="str">
        <f>"00000000"</f>
        <v>00000000</v>
      </c>
      <c r="I527" t="s">
        <v>39</v>
      </c>
      <c r="J527"/>
      <c r="K527">
        <v>296.61</v>
      </c>
      <c r="L527">
        <v>0.0</v>
      </c>
      <c r="M527"/>
      <c r="N527"/>
      <c r="O527">
        <v>53.39</v>
      </c>
      <c r="P527">
        <v>0.0</v>
      </c>
      <c r="Q527">
        <v>350.0</v>
      </c>
      <c r="R527"/>
      <c r="S527"/>
      <c r="T527"/>
      <c r="U527"/>
      <c r="V527"/>
      <c r="W527">
        <v>18</v>
      </c>
    </row>
    <row r="528" spans="1:23">
      <c r="A528"/>
      <c r="B528" t="s">
        <v>67</v>
      </c>
      <c r="C528" t="s">
        <v>67</v>
      </c>
      <c r="D528" t="s">
        <v>37</v>
      </c>
      <c r="E528" t="s">
        <v>38</v>
      </c>
      <c r="F528" t="str">
        <f>"0000636"</f>
        <v>0000636</v>
      </c>
      <c r="G528">
        <v>1</v>
      </c>
      <c r="H528" t="str">
        <f>"00000000"</f>
        <v>00000000</v>
      </c>
      <c r="I528" t="s">
        <v>39</v>
      </c>
      <c r="J528"/>
      <c r="K528">
        <v>423.73</v>
      </c>
      <c r="L528">
        <v>0.0</v>
      </c>
      <c r="M528"/>
      <c r="N528"/>
      <c r="O528">
        <v>76.27</v>
      </c>
      <c r="P528">
        <v>0.0</v>
      </c>
      <c r="Q528">
        <v>500.0</v>
      </c>
      <c r="R528"/>
      <c r="S528"/>
      <c r="T528"/>
      <c r="U528"/>
      <c r="V528"/>
      <c r="W528">
        <v>18</v>
      </c>
    </row>
    <row r="529" spans="1:23">
      <c r="A529"/>
      <c r="B529" t="s">
        <v>67</v>
      </c>
      <c r="C529" t="s">
        <v>67</v>
      </c>
      <c r="D529" t="s">
        <v>37</v>
      </c>
      <c r="E529" t="s">
        <v>38</v>
      </c>
      <c r="F529" t="str">
        <f>"0000637"</f>
        <v>0000637</v>
      </c>
      <c r="G529">
        <v>1</v>
      </c>
      <c r="H529" t="str">
        <f>"00000000"</f>
        <v>00000000</v>
      </c>
      <c r="I529" t="s">
        <v>39</v>
      </c>
      <c r="J529"/>
      <c r="K529">
        <v>305.08</v>
      </c>
      <c r="L529">
        <v>0.0</v>
      </c>
      <c r="M529"/>
      <c r="N529"/>
      <c r="O529">
        <v>54.92</v>
      </c>
      <c r="P529">
        <v>0.0</v>
      </c>
      <c r="Q529">
        <v>360.0</v>
      </c>
      <c r="R529"/>
      <c r="S529"/>
      <c r="T529"/>
      <c r="U529"/>
      <c r="V529"/>
      <c r="W529">
        <v>18</v>
      </c>
    </row>
    <row r="530" spans="1:23">
      <c r="A530"/>
      <c r="B530" t="s">
        <v>67</v>
      </c>
      <c r="C530" t="s">
        <v>67</v>
      </c>
      <c r="D530" t="s">
        <v>37</v>
      </c>
      <c r="E530" t="s">
        <v>38</v>
      </c>
      <c r="F530" t="str">
        <f>"0000638"</f>
        <v>0000638</v>
      </c>
      <c r="G530">
        <v>1</v>
      </c>
      <c r="H530" t="str">
        <f>"00000000"</f>
        <v>00000000</v>
      </c>
      <c r="I530" t="s">
        <v>39</v>
      </c>
      <c r="J530"/>
      <c r="K530">
        <v>423.73</v>
      </c>
      <c r="L530">
        <v>0.0</v>
      </c>
      <c r="M530"/>
      <c r="N530"/>
      <c r="O530">
        <v>76.27</v>
      </c>
      <c r="P530">
        <v>0.0</v>
      </c>
      <c r="Q530">
        <v>500.0</v>
      </c>
      <c r="R530"/>
      <c r="S530"/>
      <c r="T530"/>
      <c r="U530"/>
      <c r="V530"/>
      <c r="W530">
        <v>18</v>
      </c>
    </row>
    <row r="531" spans="1:23">
      <c r="A531"/>
      <c r="B531" t="s">
        <v>67</v>
      </c>
      <c r="C531" t="s">
        <v>67</v>
      </c>
      <c r="D531" t="s">
        <v>37</v>
      </c>
      <c r="E531" t="s">
        <v>38</v>
      </c>
      <c r="F531" t="str">
        <f>"0000639"</f>
        <v>0000639</v>
      </c>
      <c r="G531">
        <v>1</v>
      </c>
      <c r="H531" t="str">
        <f>"00000000"</f>
        <v>00000000</v>
      </c>
      <c r="I531" t="s">
        <v>39</v>
      </c>
      <c r="J531"/>
      <c r="K531">
        <v>372.88</v>
      </c>
      <c r="L531">
        <v>0.0</v>
      </c>
      <c r="M531"/>
      <c r="N531"/>
      <c r="O531">
        <v>67.12</v>
      </c>
      <c r="P531">
        <v>0.0</v>
      </c>
      <c r="Q531">
        <v>440.0</v>
      </c>
      <c r="R531"/>
      <c r="S531"/>
      <c r="T531"/>
      <c r="U531"/>
      <c r="V531"/>
      <c r="W531">
        <v>18</v>
      </c>
    </row>
    <row r="532" spans="1:23">
      <c r="A532"/>
      <c r="B532" t="s">
        <v>67</v>
      </c>
      <c r="C532" t="s">
        <v>67</v>
      </c>
      <c r="D532" t="s">
        <v>37</v>
      </c>
      <c r="E532" t="s">
        <v>38</v>
      </c>
      <c r="F532" t="str">
        <f>"0000640"</f>
        <v>0000640</v>
      </c>
      <c r="G532">
        <v>1</v>
      </c>
      <c r="H532" t="str">
        <f>"00000000"</f>
        <v>00000000</v>
      </c>
      <c r="I532" t="s">
        <v>39</v>
      </c>
      <c r="J532"/>
      <c r="K532">
        <v>254.24</v>
      </c>
      <c r="L532">
        <v>0.0</v>
      </c>
      <c r="M532"/>
      <c r="N532"/>
      <c r="O532">
        <v>45.76</v>
      </c>
      <c r="P532">
        <v>0.0</v>
      </c>
      <c r="Q532">
        <v>300.0</v>
      </c>
      <c r="R532"/>
      <c r="S532"/>
      <c r="T532"/>
      <c r="U532"/>
      <c r="V532"/>
      <c r="W532">
        <v>18</v>
      </c>
    </row>
    <row r="533" spans="1:23">
      <c r="A533"/>
      <c r="B533" t="s">
        <v>67</v>
      </c>
      <c r="C533" t="s">
        <v>67</v>
      </c>
      <c r="D533" t="s">
        <v>37</v>
      </c>
      <c r="E533" t="s">
        <v>38</v>
      </c>
      <c r="F533" t="str">
        <f>"0000641"</f>
        <v>0000641</v>
      </c>
      <c r="G533">
        <v>1</v>
      </c>
      <c r="H533" t="str">
        <f>"00000000"</f>
        <v>00000000</v>
      </c>
      <c r="I533" t="s">
        <v>39</v>
      </c>
      <c r="J533"/>
      <c r="K533">
        <v>338.98</v>
      </c>
      <c r="L533">
        <v>0.0</v>
      </c>
      <c r="M533"/>
      <c r="N533"/>
      <c r="O533">
        <v>61.02</v>
      </c>
      <c r="P533">
        <v>0.0</v>
      </c>
      <c r="Q533">
        <v>400.0</v>
      </c>
      <c r="R533"/>
      <c r="S533"/>
      <c r="T533"/>
      <c r="U533"/>
      <c r="V533"/>
      <c r="W533">
        <v>18</v>
      </c>
    </row>
    <row r="534" spans="1:23">
      <c r="A534"/>
      <c r="B534" t="s">
        <v>67</v>
      </c>
      <c r="C534" t="s">
        <v>67</v>
      </c>
      <c r="D534" t="s">
        <v>37</v>
      </c>
      <c r="E534" t="s">
        <v>38</v>
      </c>
      <c r="F534" t="str">
        <f>"0000642"</f>
        <v>0000642</v>
      </c>
      <c r="G534">
        <v>1</v>
      </c>
      <c r="H534" t="str">
        <f>"00000000"</f>
        <v>00000000</v>
      </c>
      <c r="I534" t="s">
        <v>39</v>
      </c>
      <c r="J534"/>
      <c r="K534">
        <v>220.34</v>
      </c>
      <c r="L534">
        <v>0.0</v>
      </c>
      <c r="M534"/>
      <c r="N534"/>
      <c r="O534">
        <v>39.66</v>
      </c>
      <c r="P534">
        <v>0.0</v>
      </c>
      <c r="Q534">
        <v>260.0</v>
      </c>
      <c r="R534"/>
      <c r="S534"/>
      <c r="T534"/>
      <c r="U534"/>
      <c r="V534"/>
      <c r="W534">
        <v>18</v>
      </c>
    </row>
    <row r="535" spans="1:23">
      <c r="A535"/>
      <c r="B535" t="s">
        <v>67</v>
      </c>
      <c r="C535" t="s">
        <v>67</v>
      </c>
      <c r="D535" t="s">
        <v>37</v>
      </c>
      <c r="E535" t="s">
        <v>38</v>
      </c>
      <c r="F535" t="str">
        <f>"0000643"</f>
        <v>0000643</v>
      </c>
      <c r="G535">
        <v>1</v>
      </c>
      <c r="H535" t="str">
        <f>"00000000"</f>
        <v>00000000</v>
      </c>
      <c r="I535" t="s">
        <v>39</v>
      </c>
      <c r="J535"/>
      <c r="K535">
        <v>317.8</v>
      </c>
      <c r="L535">
        <v>0.0</v>
      </c>
      <c r="M535"/>
      <c r="N535"/>
      <c r="O535">
        <v>57.2</v>
      </c>
      <c r="P535">
        <v>0.0</v>
      </c>
      <c r="Q535">
        <v>375.0</v>
      </c>
      <c r="R535"/>
      <c r="S535"/>
      <c r="T535"/>
      <c r="U535"/>
      <c r="V535"/>
      <c r="W535">
        <v>18</v>
      </c>
    </row>
    <row r="536" spans="1:23">
      <c r="A536"/>
      <c r="B536" t="s">
        <v>67</v>
      </c>
      <c r="C536" t="s">
        <v>67</v>
      </c>
      <c r="D536" t="s">
        <v>37</v>
      </c>
      <c r="E536" t="s">
        <v>38</v>
      </c>
      <c r="F536" t="str">
        <f>"0000644"</f>
        <v>0000644</v>
      </c>
      <c r="G536">
        <v>1</v>
      </c>
      <c r="H536" t="str">
        <f>"00000000"</f>
        <v>00000000</v>
      </c>
      <c r="I536" t="s">
        <v>39</v>
      </c>
      <c r="J536"/>
      <c r="K536">
        <v>364.41</v>
      </c>
      <c r="L536">
        <v>0.0</v>
      </c>
      <c r="M536"/>
      <c r="N536"/>
      <c r="O536">
        <v>65.59</v>
      </c>
      <c r="P536">
        <v>0.0</v>
      </c>
      <c r="Q536">
        <v>430.0</v>
      </c>
      <c r="R536"/>
      <c r="S536"/>
      <c r="T536"/>
      <c r="U536"/>
      <c r="V536"/>
      <c r="W536">
        <v>18</v>
      </c>
    </row>
    <row r="537" spans="1:23">
      <c r="A537"/>
      <c r="B537" t="s">
        <v>67</v>
      </c>
      <c r="C537" t="s">
        <v>67</v>
      </c>
      <c r="D537" t="s">
        <v>37</v>
      </c>
      <c r="E537" t="s">
        <v>38</v>
      </c>
      <c r="F537" t="str">
        <f>"0000645"</f>
        <v>0000645</v>
      </c>
      <c r="G537">
        <v>1</v>
      </c>
      <c r="H537" t="str">
        <f>"00000000"</f>
        <v>00000000</v>
      </c>
      <c r="I537" t="s">
        <v>39</v>
      </c>
      <c r="J537"/>
      <c r="K537">
        <v>296.61</v>
      </c>
      <c r="L537">
        <v>0.0</v>
      </c>
      <c r="M537"/>
      <c r="N537"/>
      <c r="O537">
        <v>53.39</v>
      </c>
      <c r="P537">
        <v>0.0</v>
      </c>
      <c r="Q537">
        <v>350.0</v>
      </c>
      <c r="R537"/>
      <c r="S537"/>
      <c r="T537"/>
      <c r="U537"/>
      <c r="V537"/>
      <c r="W537">
        <v>18</v>
      </c>
    </row>
    <row r="538" spans="1:23">
      <c r="A538"/>
      <c r="B538" t="s">
        <v>67</v>
      </c>
      <c r="C538" t="s">
        <v>67</v>
      </c>
      <c r="D538" t="s">
        <v>37</v>
      </c>
      <c r="E538" t="s">
        <v>38</v>
      </c>
      <c r="F538" t="str">
        <f>"0000646"</f>
        <v>0000646</v>
      </c>
      <c r="G538">
        <v>1</v>
      </c>
      <c r="H538" t="str">
        <f>"00000000"</f>
        <v>00000000</v>
      </c>
      <c r="I538" t="s">
        <v>39</v>
      </c>
      <c r="J538"/>
      <c r="K538">
        <v>254.24</v>
      </c>
      <c r="L538">
        <v>0.0</v>
      </c>
      <c r="M538"/>
      <c r="N538"/>
      <c r="O538">
        <v>45.76</v>
      </c>
      <c r="P538">
        <v>0.0</v>
      </c>
      <c r="Q538">
        <v>300.0</v>
      </c>
      <c r="R538"/>
      <c r="S538"/>
      <c r="T538"/>
      <c r="U538"/>
      <c r="V538"/>
      <c r="W538">
        <v>18</v>
      </c>
    </row>
    <row r="539" spans="1:23">
      <c r="A539"/>
      <c r="B539" t="s">
        <v>67</v>
      </c>
      <c r="C539" t="s">
        <v>67</v>
      </c>
      <c r="D539" t="s">
        <v>37</v>
      </c>
      <c r="E539" t="s">
        <v>38</v>
      </c>
      <c r="F539" t="str">
        <f>"0000647"</f>
        <v>0000647</v>
      </c>
      <c r="G539">
        <v>1</v>
      </c>
      <c r="H539" t="str">
        <f>"00000000"</f>
        <v>00000000</v>
      </c>
      <c r="I539" t="s">
        <v>39</v>
      </c>
      <c r="J539"/>
      <c r="K539">
        <v>406.78</v>
      </c>
      <c r="L539">
        <v>0.0</v>
      </c>
      <c r="M539"/>
      <c r="N539"/>
      <c r="O539">
        <v>73.22</v>
      </c>
      <c r="P539">
        <v>0.0</v>
      </c>
      <c r="Q539">
        <v>480.0</v>
      </c>
      <c r="R539"/>
      <c r="S539"/>
      <c r="T539"/>
      <c r="U539"/>
      <c r="V539"/>
      <c r="W539">
        <v>18</v>
      </c>
    </row>
    <row r="540" spans="1:23">
      <c r="A540"/>
      <c r="B540" t="s">
        <v>68</v>
      </c>
      <c r="C540" t="s">
        <v>68</v>
      </c>
      <c r="D540" t="s">
        <v>37</v>
      </c>
      <c r="E540" t="s">
        <v>38</v>
      </c>
      <c r="F540" t="str">
        <f>"0000648"</f>
        <v>0000648</v>
      </c>
      <c r="G540">
        <v>1</v>
      </c>
      <c r="H540" t="str">
        <f>"00000000"</f>
        <v>00000000</v>
      </c>
      <c r="I540" t="s">
        <v>39</v>
      </c>
      <c r="J540"/>
      <c r="K540">
        <v>406.78</v>
      </c>
      <c r="L540">
        <v>0.0</v>
      </c>
      <c r="M540"/>
      <c r="N540"/>
      <c r="O540">
        <v>73.22</v>
      </c>
      <c r="P540">
        <v>0.0</v>
      </c>
      <c r="Q540">
        <v>480.0</v>
      </c>
      <c r="R540"/>
      <c r="S540"/>
      <c r="T540"/>
      <c r="U540"/>
      <c r="V540"/>
      <c r="W540">
        <v>18</v>
      </c>
    </row>
    <row r="541" spans="1:23">
      <c r="A541"/>
      <c r="B541" t="s">
        <v>68</v>
      </c>
      <c r="C541" t="s">
        <v>68</v>
      </c>
      <c r="D541" t="s">
        <v>37</v>
      </c>
      <c r="E541" t="s">
        <v>38</v>
      </c>
      <c r="F541" t="str">
        <f>"0000649"</f>
        <v>0000649</v>
      </c>
      <c r="G541">
        <v>1</v>
      </c>
      <c r="H541" t="str">
        <f>"00000000"</f>
        <v>00000000</v>
      </c>
      <c r="I541" t="s">
        <v>39</v>
      </c>
      <c r="J541"/>
      <c r="K541">
        <v>406.78</v>
      </c>
      <c r="L541">
        <v>0.0</v>
      </c>
      <c r="M541"/>
      <c r="N541"/>
      <c r="O541">
        <v>73.22</v>
      </c>
      <c r="P541">
        <v>0.0</v>
      </c>
      <c r="Q541">
        <v>480.0</v>
      </c>
      <c r="R541"/>
      <c r="S541"/>
      <c r="T541"/>
      <c r="U541"/>
      <c r="V541"/>
      <c r="W541">
        <v>18</v>
      </c>
    </row>
    <row r="542" spans="1:23">
      <c r="A542"/>
      <c r="B542" t="s">
        <v>68</v>
      </c>
      <c r="C542" t="s">
        <v>68</v>
      </c>
      <c r="D542" t="s">
        <v>37</v>
      </c>
      <c r="E542" t="s">
        <v>38</v>
      </c>
      <c r="F542" t="str">
        <f>"0000650"</f>
        <v>0000650</v>
      </c>
      <c r="G542">
        <v>1</v>
      </c>
      <c r="H542" t="str">
        <f>"00000000"</f>
        <v>00000000</v>
      </c>
      <c r="I542" t="s">
        <v>39</v>
      </c>
      <c r="J542"/>
      <c r="K542">
        <v>220.34</v>
      </c>
      <c r="L542">
        <v>0.0</v>
      </c>
      <c r="M542"/>
      <c r="N542"/>
      <c r="O542">
        <v>39.66</v>
      </c>
      <c r="P542">
        <v>0.0</v>
      </c>
      <c r="Q542">
        <v>260.0</v>
      </c>
      <c r="R542"/>
      <c r="S542"/>
      <c r="T542"/>
      <c r="U542"/>
      <c r="V542"/>
      <c r="W542">
        <v>18</v>
      </c>
    </row>
    <row r="543" spans="1:23">
      <c r="A543"/>
      <c r="B543" t="s">
        <v>68</v>
      </c>
      <c r="C543" t="s">
        <v>68</v>
      </c>
      <c r="D543" t="s">
        <v>37</v>
      </c>
      <c r="E543" t="s">
        <v>38</v>
      </c>
      <c r="F543" t="str">
        <f>"0000651"</f>
        <v>0000651</v>
      </c>
      <c r="G543">
        <v>1</v>
      </c>
      <c r="H543" t="str">
        <f>"00000000"</f>
        <v>00000000</v>
      </c>
      <c r="I543" t="s">
        <v>39</v>
      </c>
      <c r="J543"/>
      <c r="K543">
        <v>296.61</v>
      </c>
      <c r="L543">
        <v>0.0</v>
      </c>
      <c r="M543"/>
      <c r="N543"/>
      <c r="O543">
        <v>53.39</v>
      </c>
      <c r="P543">
        <v>0.0</v>
      </c>
      <c r="Q543">
        <v>350.0</v>
      </c>
      <c r="R543"/>
      <c r="S543"/>
      <c r="T543"/>
      <c r="U543"/>
      <c r="V543"/>
      <c r="W543">
        <v>18</v>
      </c>
    </row>
    <row r="544" spans="1:23">
      <c r="A544"/>
      <c r="B544" t="s">
        <v>68</v>
      </c>
      <c r="C544" t="s">
        <v>68</v>
      </c>
      <c r="D544" t="s">
        <v>37</v>
      </c>
      <c r="E544" t="s">
        <v>38</v>
      </c>
      <c r="F544" t="str">
        <f>"0000652"</f>
        <v>0000652</v>
      </c>
      <c r="G544">
        <v>1</v>
      </c>
      <c r="H544" t="str">
        <f>"00000000"</f>
        <v>00000000</v>
      </c>
      <c r="I544" t="s">
        <v>39</v>
      </c>
      <c r="J544"/>
      <c r="K544">
        <v>237.29</v>
      </c>
      <c r="L544">
        <v>0.0</v>
      </c>
      <c r="M544"/>
      <c r="N544"/>
      <c r="O544">
        <v>42.71</v>
      </c>
      <c r="P544">
        <v>0.0</v>
      </c>
      <c r="Q544">
        <v>280.0</v>
      </c>
      <c r="R544"/>
      <c r="S544"/>
      <c r="T544"/>
      <c r="U544"/>
      <c r="V544"/>
      <c r="W544">
        <v>18</v>
      </c>
    </row>
    <row r="545" spans="1:23">
      <c r="A545"/>
      <c r="B545" t="s">
        <v>68</v>
      </c>
      <c r="C545" t="s">
        <v>68</v>
      </c>
      <c r="D545" t="s">
        <v>37</v>
      </c>
      <c r="E545" t="s">
        <v>38</v>
      </c>
      <c r="F545" t="str">
        <f>"0000653"</f>
        <v>0000653</v>
      </c>
      <c r="G545">
        <v>1</v>
      </c>
      <c r="H545" t="str">
        <f>"00000000"</f>
        <v>00000000</v>
      </c>
      <c r="I545" t="s">
        <v>39</v>
      </c>
      <c r="J545"/>
      <c r="K545">
        <v>296.61</v>
      </c>
      <c r="L545">
        <v>0.0</v>
      </c>
      <c r="M545"/>
      <c r="N545"/>
      <c r="O545">
        <v>53.39</v>
      </c>
      <c r="P545">
        <v>0.0</v>
      </c>
      <c r="Q545">
        <v>350.0</v>
      </c>
      <c r="R545"/>
      <c r="S545"/>
      <c r="T545"/>
      <c r="U545"/>
      <c r="V545"/>
      <c r="W545">
        <v>18</v>
      </c>
    </row>
    <row r="546" spans="1:23">
      <c r="A546"/>
      <c r="B546" t="s">
        <v>68</v>
      </c>
      <c r="C546" t="s">
        <v>68</v>
      </c>
      <c r="D546" t="s">
        <v>37</v>
      </c>
      <c r="E546" t="s">
        <v>38</v>
      </c>
      <c r="F546" t="str">
        <f>"0000654"</f>
        <v>0000654</v>
      </c>
      <c r="G546">
        <v>1</v>
      </c>
      <c r="H546" t="str">
        <f>"00000000"</f>
        <v>00000000</v>
      </c>
      <c r="I546" t="s">
        <v>39</v>
      </c>
      <c r="J546"/>
      <c r="K546">
        <v>338.98</v>
      </c>
      <c r="L546">
        <v>0.0</v>
      </c>
      <c r="M546"/>
      <c r="N546"/>
      <c r="O546">
        <v>61.02</v>
      </c>
      <c r="P546">
        <v>0.0</v>
      </c>
      <c r="Q546">
        <v>400.0</v>
      </c>
      <c r="R546"/>
      <c r="S546"/>
      <c r="T546"/>
      <c r="U546"/>
      <c r="V546"/>
      <c r="W546">
        <v>18</v>
      </c>
    </row>
    <row r="547" spans="1:23">
      <c r="A547"/>
      <c r="B547" t="s">
        <v>68</v>
      </c>
      <c r="C547" t="s">
        <v>68</v>
      </c>
      <c r="D547" t="s">
        <v>37</v>
      </c>
      <c r="E547" t="s">
        <v>38</v>
      </c>
      <c r="F547" t="str">
        <f>"0000655"</f>
        <v>0000655</v>
      </c>
      <c r="G547">
        <v>1</v>
      </c>
      <c r="H547" t="str">
        <f>"00000000"</f>
        <v>00000000</v>
      </c>
      <c r="I547" t="s">
        <v>39</v>
      </c>
      <c r="J547"/>
      <c r="K547">
        <v>254.24</v>
      </c>
      <c r="L547">
        <v>0.0</v>
      </c>
      <c r="M547"/>
      <c r="N547"/>
      <c r="O547">
        <v>45.76</v>
      </c>
      <c r="P547">
        <v>0.0</v>
      </c>
      <c r="Q547">
        <v>300.0</v>
      </c>
      <c r="R547"/>
      <c r="S547"/>
      <c r="T547"/>
      <c r="U547"/>
      <c r="V547"/>
      <c r="W547">
        <v>18</v>
      </c>
    </row>
    <row r="548" spans="1:23">
      <c r="A548"/>
      <c r="B548" t="s">
        <v>68</v>
      </c>
      <c r="C548" t="s">
        <v>68</v>
      </c>
      <c r="D548" t="s">
        <v>37</v>
      </c>
      <c r="E548" t="s">
        <v>38</v>
      </c>
      <c r="F548" t="str">
        <f>"0000656"</f>
        <v>0000656</v>
      </c>
      <c r="G548">
        <v>1</v>
      </c>
      <c r="H548" t="str">
        <f>"00000000"</f>
        <v>00000000</v>
      </c>
      <c r="I548" t="s">
        <v>39</v>
      </c>
      <c r="J548"/>
      <c r="K548">
        <v>406.78</v>
      </c>
      <c r="L548">
        <v>0.0</v>
      </c>
      <c r="M548"/>
      <c r="N548"/>
      <c r="O548">
        <v>73.22</v>
      </c>
      <c r="P548">
        <v>0.0</v>
      </c>
      <c r="Q548">
        <v>480.0</v>
      </c>
      <c r="R548"/>
      <c r="S548"/>
      <c r="T548"/>
      <c r="U548"/>
      <c r="V548"/>
      <c r="W548">
        <v>18</v>
      </c>
    </row>
    <row r="549" spans="1:23">
      <c r="A549"/>
      <c r="B549" t="s">
        <v>68</v>
      </c>
      <c r="C549" t="s">
        <v>68</v>
      </c>
      <c r="D549" t="s">
        <v>37</v>
      </c>
      <c r="E549" t="s">
        <v>38</v>
      </c>
      <c r="F549" t="str">
        <f>"0000657"</f>
        <v>0000657</v>
      </c>
      <c r="G549">
        <v>1</v>
      </c>
      <c r="H549" t="str">
        <f>"00000000"</f>
        <v>00000000</v>
      </c>
      <c r="I549" t="s">
        <v>39</v>
      </c>
      <c r="J549"/>
      <c r="K549">
        <v>338.98</v>
      </c>
      <c r="L549">
        <v>0.0</v>
      </c>
      <c r="M549"/>
      <c r="N549"/>
      <c r="O549">
        <v>61.02</v>
      </c>
      <c r="P549">
        <v>0.0</v>
      </c>
      <c r="Q549">
        <v>400.0</v>
      </c>
      <c r="R549"/>
      <c r="S549"/>
      <c r="T549"/>
      <c r="U549"/>
      <c r="V549"/>
      <c r="W549">
        <v>18</v>
      </c>
    </row>
    <row r="550" spans="1:23">
      <c r="A550"/>
      <c r="B550" t="s">
        <v>68</v>
      </c>
      <c r="C550" t="s">
        <v>68</v>
      </c>
      <c r="D550" t="s">
        <v>37</v>
      </c>
      <c r="E550" t="s">
        <v>38</v>
      </c>
      <c r="F550" t="str">
        <f>"0000658"</f>
        <v>0000658</v>
      </c>
      <c r="G550">
        <v>1</v>
      </c>
      <c r="H550" t="str">
        <f>"00000000"</f>
        <v>00000000</v>
      </c>
      <c r="I550" t="s">
        <v>39</v>
      </c>
      <c r="J550"/>
      <c r="K550">
        <v>296.61</v>
      </c>
      <c r="L550">
        <v>0.0</v>
      </c>
      <c r="M550"/>
      <c r="N550"/>
      <c r="O550">
        <v>53.39</v>
      </c>
      <c r="P550">
        <v>0.0</v>
      </c>
      <c r="Q550">
        <v>350.0</v>
      </c>
      <c r="R550"/>
      <c r="S550"/>
      <c r="T550"/>
      <c r="U550"/>
      <c r="V550"/>
      <c r="W550">
        <v>18</v>
      </c>
    </row>
    <row r="551" spans="1:23">
      <c r="A551"/>
      <c r="B551" t="s">
        <v>68</v>
      </c>
      <c r="C551" t="s">
        <v>68</v>
      </c>
      <c r="D551" t="s">
        <v>37</v>
      </c>
      <c r="E551" t="s">
        <v>38</v>
      </c>
      <c r="F551" t="str">
        <f>"0000659"</f>
        <v>0000659</v>
      </c>
      <c r="G551">
        <v>1</v>
      </c>
      <c r="H551" t="str">
        <f>"00000000"</f>
        <v>00000000</v>
      </c>
      <c r="I551" t="s">
        <v>39</v>
      </c>
      <c r="J551"/>
      <c r="K551">
        <v>338.98</v>
      </c>
      <c r="L551">
        <v>0.0</v>
      </c>
      <c r="M551"/>
      <c r="N551"/>
      <c r="O551">
        <v>61.02</v>
      </c>
      <c r="P551">
        <v>0.0</v>
      </c>
      <c r="Q551">
        <v>400.0</v>
      </c>
      <c r="R551"/>
      <c r="S551"/>
      <c r="T551"/>
      <c r="U551"/>
      <c r="V551"/>
      <c r="W551">
        <v>18</v>
      </c>
    </row>
    <row r="552" spans="1:23">
      <c r="A552"/>
      <c r="B552" t="s">
        <v>68</v>
      </c>
      <c r="C552" t="s">
        <v>68</v>
      </c>
      <c r="D552" t="s">
        <v>37</v>
      </c>
      <c r="E552" t="s">
        <v>38</v>
      </c>
      <c r="F552" t="str">
        <f>"0000660"</f>
        <v>0000660</v>
      </c>
      <c r="G552">
        <v>1</v>
      </c>
      <c r="H552" t="str">
        <f>"00000000"</f>
        <v>00000000</v>
      </c>
      <c r="I552" t="s">
        <v>39</v>
      </c>
      <c r="J552"/>
      <c r="K552">
        <v>330.51</v>
      </c>
      <c r="L552">
        <v>0.0</v>
      </c>
      <c r="M552"/>
      <c r="N552"/>
      <c r="O552">
        <v>59.49</v>
      </c>
      <c r="P552">
        <v>0.0</v>
      </c>
      <c r="Q552">
        <v>390.0</v>
      </c>
      <c r="R552"/>
      <c r="S552"/>
      <c r="T552"/>
      <c r="U552"/>
      <c r="V552"/>
      <c r="W552">
        <v>18</v>
      </c>
    </row>
    <row r="553" spans="1:23">
      <c r="A553"/>
      <c r="B553" t="s">
        <v>68</v>
      </c>
      <c r="C553" t="s">
        <v>68</v>
      </c>
      <c r="D553" t="s">
        <v>37</v>
      </c>
      <c r="E553" t="s">
        <v>38</v>
      </c>
      <c r="F553" t="str">
        <f>"0000661"</f>
        <v>0000661</v>
      </c>
      <c r="G553">
        <v>1</v>
      </c>
      <c r="H553" t="str">
        <f>"00000000"</f>
        <v>00000000</v>
      </c>
      <c r="I553" t="s">
        <v>39</v>
      </c>
      <c r="J553"/>
      <c r="K553">
        <v>254.24</v>
      </c>
      <c r="L553">
        <v>0.0</v>
      </c>
      <c r="M553"/>
      <c r="N553"/>
      <c r="O553">
        <v>45.76</v>
      </c>
      <c r="P553">
        <v>0.0</v>
      </c>
      <c r="Q553">
        <v>300.0</v>
      </c>
      <c r="R553"/>
      <c r="S553"/>
      <c r="T553"/>
      <c r="U553"/>
      <c r="V553"/>
      <c r="W553">
        <v>18</v>
      </c>
    </row>
    <row r="554" spans="1:23">
      <c r="A554"/>
      <c r="B554" t="s">
        <v>68</v>
      </c>
      <c r="C554" t="s">
        <v>68</v>
      </c>
      <c r="D554" t="s">
        <v>37</v>
      </c>
      <c r="E554" t="s">
        <v>38</v>
      </c>
      <c r="F554" t="str">
        <f>"0000662"</f>
        <v>0000662</v>
      </c>
      <c r="G554">
        <v>1</v>
      </c>
      <c r="H554" t="str">
        <f>"00000000"</f>
        <v>00000000</v>
      </c>
      <c r="I554" t="s">
        <v>39</v>
      </c>
      <c r="J554"/>
      <c r="K554">
        <v>406.78</v>
      </c>
      <c r="L554">
        <v>0.0</v>
      </c>
      <c r="M554"/>
      <c r="N554"/>
      <c r="O554">
        <v>73.22</v>
      </c>
      <c r="P554">
        <v>0.0</v>
      </c>
      <c r="Q554">
        <v>480.0</v>
      </c>
      <c r="R554"/>
      <c r="S554"/>
      <c r="T554"/>
      <c r="U554"/>
      <c r="V554"/>
      <c r="W554">
        <v>18</v>
      </c>
    </row>
    <row r="555" spans="1:23">
      <c r="A555"/>
      <c r="B555" t="s">
        <v>68</v>
      </c>
      <c r="C555" t="s">
        <v>68</v>
      </c>
      <c r="D555" t="s">
        <v>37</v>
      </c>
      <c r="E555" t="s">
        <v>38</v>
      </c>
      <c r="F555" t="str">
        <f>"0000663"</f>
        <v>0000663</v>
      </c>
      <c r="G555">
        <v>1</v>
      </c>
      <c r="H555" t="str">
        <f>"00000000"</f>
        <v>00000000</v>
      </c>
      <c r="I555" t="s">
        <v>39</v>
      </c>
      <c r="J555"/>
      <c r="K555">
        <v>330.51</v>
      </c>
      <c r="L555">
        <v>0.0</v>
      </c>
      <c r="M555"/>
      <c r="N555"/>
      <c r="O555">
        <v>59.49</v>
      </c>
      <c r="P555">
        <v>0.0</v>
      </c>
      <c r="Q555">
        <v>390.0</v>
      </c>
      <c r="R555"/>
      <c r="S555"/>
      <c r="T555"/>
      <c r="U555"/>
      <c r="V555"/>
      <c r="W555">
        <v>18</v>
      </c>
    </row>
    <row r="556" spans="1:23">
      <c r="A556"/>
      <c r="B556" t="s">
        <v>68</v>
      </c>
      <c r="C556" t="s">
        <v>68</v>
      </c>
      <c r="D556" t="s">
        <v>37</v>
      </c>
      <c r="E556" t="s">
        <v>38</v>
      </c>
      <c r="F556" t="str">
        <f>"0000664"</f>
        <v>0000664</v>
      </c>
      <c r="G556">
        <v>1</v>
      </c>
      <c r="H556" t="str">
        <f>"00000000"</f>
        <v>00000000</v>
      </c>
      <c r="I556" t="s">
        <v>39</v>
      </c>
      <c r="J556"/>
      <c r="K556">
        <v>338.98</v>
      </c>
      <c r="L556">
        <v>0.0</v>
      </c>
      <c r="M556"/>
      <c r="N556"/>
      <c r="O556">
        <v>61.02</v>
      </c>
      <c r="P556">
        <v>0.0</v>
      </c>
      <c r="Q556">
        <v>400.0</v>
      </c>
      <c r="R556"/>
      <c r="S556"/>
      <c r="T556"/>
      <c r="U556"/>
      <c r="V556"/>
      <c r="W556">
        <v>18</v>
      </c>
    </row>
    <row r="557" spans="1:23">
      <c r="A557"/>
      <c r="B557" t="s">
        <v>68</v>
      </c>
      <c r="C557" t="s">
        <v>68</v>
      </c>
      <c r="D557" t="s">
        <v>37</v>
      </c>
      <c r="E557" t="s">
        <v>38</v>
      </c>
      <c r="F557" t="str">
        <f>"0000665"</f>
        <v>0000665</v>
      </c>
      <c r="G557">
        <v>1</v>
      </c>
      <c r="H557" t="str">
        <f>"00000000"</f>
        <v>00000000</v>
      </c>
      <c r="I557" t="s">
        <v>39</v>
      </c>
      <c r="J557"/>
      <c r="K557">
        <v>254.24</v>
      </c>
      <c r="L557">
        <v>0.0</v>
      </c>
      <c r="M557"/>
      <c r="N557"/>
      <c r="O557">
        <v>45.76</v>
      </c>
      <c r="P557">
        <v>0.0</v>
      </c>
      <c r="Q557">
        <v>300.0</v>
      </c>
      <c r="R557"/>
      <c r="S557"/>
      <c r="T557"/>
      <c r="U557"/>
      <c r="V557"/>
      <c r="W557">
        <v>18</v>
      </c>
    </row>
    <row r="558" spans="1:23">
      <c r="A558"/>
      <c r="B558" t="s">
        <v>68</v>
      </c>
      <c r="C558" t="s">
        <v>68</v>
      </c>
      <c r="D558" t="s">
        <v>37</v>
      </c>
      <c r="E558" t="s">
        <v>38</v>
      </c>
      <c r="F558" t="str">
        <f>"0000666"</f>
        <v>0000666</v>
      </c>
      <c r="G558">
        <v>1</v>
      </c>
      <c r="H558" t="str">
        <f>"00000000"</f>
        <v>00000000</v>
      </c>
      <c r="I558" t="s">
        <v>39</v>
      </c>
      <c r="J558"/>
      <c r="K558">
        <v>381.36</v>
      </c>
      <c r="L558">
        <v>0.0</v>
      </c>
      <c r="M558"/>
      <c r="N558"/>
      <c r="O558">
        <v>68.64</v>
      </c>
      <c r="P558">
        <v>0.0</v>
      </c>
      <c r="Q558">
        <v>450.0</v>
      </c>
      <c r="R558"/>
      <c r="S558"/>
      <c r="T558"/>
      <c r="U558"/>
      <c r="V558"/>
      <c r="W558">
        <v>18</v>
      </c>
    </row>
    <row r="559" spans="1:23">
      <c r="A559"/>
      <c r="B559" t="s">
        <v>68</v>
      </c>
      <c r="C559" t="s">
        <v>68</v>
      </c>
      <c r="D559" t="s">
        <v>37</v>
      </c>
      <c r="E559" t="s">
        <v>38</v>
      </c>
      <c r="F559" t="str">
        <f>"0000667"</f>
        <v>0000667</v>
      </c>
      <c r="G559">
        <v>1</v>
      </c>
      <c r="H559" t="str">
        <f>"00000000"</f>
        <v>00000000</v>
      </c>
      <c r="I559" t="s">
        <v>39</v>
      </c>
      <c r="J559"/>
      <c r="K559">
        <v>381.36</v>
      </c>
      <c r="L559">
        <v>0.0</v>
      </c>
      <c r="M559"/>
      <c r="N559"/>
      <c r="O559">
        <v>68.64</v>
      </c>
      <c r="P559">
        <v>0.0</v>
      </c>
      <c r="Q559">
        <v>450.0</v>
      </c>
      <c r="R559"/>
      <c r="S559"/>
      <c r="T559"/>
      <c r="U559"/>
      <c r="V559"/>
      <c r="W559">
        <v>18</v>
      </c>
    </row>
    <row r="560" spans="1:23">
      <c r="A560"/>
      <c r="B560" t="s">
        <v>68</v>
      </c>
      <c r="C560" t="s">
        <v>68</v>
      </c>
      <c r="D560" t="s">
        <v>37</v>
      </c>
      <c r="E560" t="s">
        <v>38</v>
      </c>
      <c r="F560" t="str">
        <f>"0000668"</f>
        <v>0000668</v>
      </c>
      <c r="G560">
        <v>1</v>
      </c>
      <c r="H560" t="str">
        <f>"00000000"</f>
        <v>00000000</v>
      </c>
      <c r="I560" t="s">
        <v>39</v>
      </c>
      <c r="J560"/>
      <c r="K560">
        <v>406.78</v>
      </c>
      <c r="L560">
        <v>0.0</v>
      </c>
      <c r="M560"/>
      <c r="N560"/>
      <c r="O560">
        <v>73.22</v>
      </c>
      <c r="P560">
        <v>0.0</v>
      </c>
      <c r="Q560">
        <v>480.0</v>
      </c>
      <c r="R560"/>
      <c r="S560"/>
      <c r="T560"/>
      <c r="U560"/>
      <c r="V560"/>
      <c r="W560">
        <v>18</v>
      </c>
    </row>
    <row r="561" spans="1:23">
      <c r="A561"/>
      <c r="B561" t="s">
        <v>68</v>
      </c>
      <c r="C561" t="s">
        <v>68</v>
      </c>
      <c r="D561" t="s">
        <v>37</v>
      </c>
      <c r="E561" t="s">
        <v>38</v>
      </c>
      <c r="F561" t="str">
        <f>"0000669"</f>
        <v>0000669</v>
      </c>
      <c r="G561">
        <v>1</v>
      </c>
      <c r="H561" t="str">
        <f>"00000000"</f>
        <v>00000000</v>
      </c>
      <c r="I561" t="s">
        <v>39</v>
      </c>
      <c r="J561"/>
      <c r="K561">
        <v>402.54</v>
      </c>
      <c r="L561">
        <v>0.0</v>
      </c>
      <c r="M561"/>
      <c r="N561"/>
      <c r="O561">
        <v>72.46</v>
      </c>
      <c r="P561">
        <v>0.0</v>
      </c>
      <c r="Q561">
        <v>475.0</v>
      </c>
      <c r="R561"/>
      <c r="S561"/>
      <c r="T561"/>
      <c r="U561"/>
      <c r="V561"/>
      <c r="W561">
        <v>18</v>
      </c>
    </row>
    <row r="562" spans="1:23">
      <c r="A562"/>
      <c r="B562" t="s">
        <v>68</v>
      </c>
      <c r="C562" t="s">
        <v>68</v>
      </c>
      <c r="D562" t="s">
        <v>37</v>
      </c>
      <c r="E562" t="s">
        <v>38</v>
      </c>
      <c r="F562" t="str">
        <f>"0000670"</f>
        <v>0000670</v>
      </c>
      <c r="G562">
        <v>1</v>
      </c>
      <c r="H562" t="str">
        <f>"00000000"</f>
        <v>00000000</v>
      </c>
      <c r="I562" t="s">
        <v>39</v>
      </c>
      <c r="J562"/>
      <c r="K562">
        <v>296.61</v>
      </c>
      <c r="L562">
        <v>0.0</v>
      </c>
      <c r="M562"/>
      <c r="N562"/>
      <c r="O562">
        <v>53.39</v>
      </c>
      <c r="P562">
        <v>0.0</v>
      </c>
      <c r="Q562">
        <v>350.0</v>
      </c>
      <c r="R562"/>
      <c r="S562"/>
      <c r="T562"/>
      <c r="U562"/>
      <c r="V562"/>
      <c r="W562">
        <v>18</v>
      </c>
    </row>
    <row r="563" spans="1:23">
      <c r="A563"/>
      <c r="B563" t="s">
        <v>68</v>
      </c>
      <c r="C563" t="s">
        <v>68</v>
      </c>
      <c r="D563" t="s">
        <v>37</v>
      </c>
      <c r="E563" t="s">
        <v>38</v>
      </c>
      <c r="F563" t="str">
        <f>"0000671"</f>
        <v>0000671</v>
      </c>
      <c r="G563">
        <v>1</v>
      </c>
      <c r="H563" t="str">
        <f>"00000000"</f>
        <v>00000000</v>
      </c>
      <c r="I563" t="s">
        <v>39</v>
      </c>
      <c r="J563"/>
      <c r="K563">
        <v>406.78</v>
      </c>
      <c r="L563">
        <v>0.0</v>
      </c>
      <c r="M563"/>
      <c r="N563"/>
      <c r="O563">
        <v>73.22</v>
      </c>
      <c r="P563">
        <v>0.0</v>
      </c>
      <c r="Q563">
        <v>480.0</v>
      </c>
      <c r="R563"/>
      <c r="S563"/>
      <c r="T563"/>
      <c r="U563"/>
      <c r="V563"/>
      <c r="W563">
        <v>18</v>
      </c>
    </row>
    <row r="564" spans="1:23">
      <c r="A564"/>
      <c r="B564" t="s">
        <v>68</v>
      </c>
      <c r="C564" t="s">
        <v>68</v>
      </c>
      <c r="D564" t="s">
        <v>37</v>
      </c>
      <c r="E564" t="s">
        <v>38</v>
      </c>
      <c r="F564" t="str">
        <f>"0000672"</f>
        <v>0000672</v>
      </c>
      <c r="G564">
        <v>1</v>
      </c>
      <c r="H564" t="str">
        <f>"00000000"</f>
        <v>00000000</v>
      </c>
      <c r="I564" t="s">
        <v>39</v>
      </c>
      <c r="J564"/>
      <c r="K564">
        <v>296.61</v>
      </c>
      <c r="L564">
        <v>0.0</v>
      </c>
      <c r="M564"/>
      <c r="N564"/>
      <c r="O564">
        <v>53.39</v>
      </c>
      <c r="P564">
        <v>0.0</v>
      </c>
      <c r="Q564">
        <v>350.0</v>
      </c>
      <c r="R564"/>
      <c r="S564"/>
      <c r="T564"/>
      <c r="U564"/>
      <c r="V564"/>
      <c r="W564">
        <v>18</v>
      </c>
    </row>
    <row r="565" spans="1:23">
      <c r="A565"/>
      <c r="B565" t="s">
        <v>68</v>
      </c>
      <c r="C565" t="s">
        <v>68</v>
      </c>
      <c r="D565" t="s">
        <v>37</v>
      </c>
      <c r="E565" t="s">
        <v>38</v>
      </c>
      <c r="F565" t="str">
        <f>"0000673"</f>
        <v>0000673</v>
      </c>
      <c r="G565">
        <v>1</v>
      </c>
      <c r="H565" t="str">
        <f>"00000000"</f>
        <v>00000000</v>
      </c>
      <c r="I565" t="s">
        <v>39</v>
      </c>
      <c r="J565"/>
      <c r="K565">
        <v>355.93</v>
      </c>
      <c r="L565">
        <v>0.0</v>
      </c>
      <c r="M565"/>
      <c r="N565"/>
      <c r="O565">
        <v>64.07</v>
      </c>
      <c r="P565">
        <v>0.0</v>
      </c>
      <c r="Q565">
        <v>420.0</v>
      </c>
      <c r="R565"/>
      <c r="S565"/>
      <c r="T565"/>
      <c r="U565"/>
      <c r="V565"/>
      <c r="W565">
        <v>18</v>
      </c>
    </row>
    <row r="566" spans="1:23">
      <c r="A566"/>
      <c r="B566" t="s">
        <v>68</v>
      </c>
      <c r="C566" t="s">
        <v>68</v>
      </c>
      <c r="D566" t="s">
        <v>37</v>
      </c>
      <c r="E566" t="s">
        <v>38</v>
      </c>
      <c r="F566" t="str">
        <f>"0000674"</f>
        <v>0000674</v>
      </c>
      <c r="G566">
        <v>1</v>
      </c>
      <c r="H566" t="str">
        <f>"00000000"</f>
        <v>00000000</v>
      </c>
      <c r="I566" t="s">
        <v>39</v>
      </c>
      <c r="J566"/>
      <c r="K566">
        <v>338.98</v>
      </c>
      <c r="L566">
        <v>0.0</v>
      </c>
      <c r="M566"/>
      <c r="N566"/>
      <c r="O566">
        <v>61.02</v>
      </c>
      <c r="P566">
        <v>0.0</v>
      </c>
      <c r="Q566">
        <v>400.0</v>
      </c>
      <c r="R566"/>
      <c r="S566"/>
      <c r="T566"/>
      <c r="U566"/>
      <c r="V566"/>
      <c r="W566">
        <v>18</v>
      </c>
    </row>
    <row r="567" spans="1:23">
      <c r="A567"/>
      <c r="B567" t="s">
        <v>68</v>
      </c>
      <c r="C567" t="s">
        <v>68</v>
      </c>
      <c r="D567" t="s">
        <v>37</v>
      </c>
      <c r="E567" t="s">
        <v>38</v>
      </c>
      <c r="F567" t="str">
        <f>"0000675"</f>
        <v>0000675</v>
      </c>
      <c r="G567">
        <v>1</v>
      </c>
      <c r="H567" t="str">
        <f>"00000000"</f>
        <v>00000000</v>
      </c>
      <c r="I567" t="s">
        <v>39</v>
      </c>
      <c r="J567"/>
      <c r="K567">
        <v>254.24</v>
      </c>
      <c r="L567">
        <v>0.0</v>
      </c>
      <c r="M567"/>
      <c r="N567"/>
      <c r="O567">
        <v>45.76</v>
      </c>
      <c r="P567">
        <v>0.0</v>
      </c>
      <c r="Q567">
        <v>300.0</v>
      </c>
      <c r="R567"/>
      <c r="S567"/>
      <c r="T567"/>
      <c r="U567"/>
      <c r="V567"/>
      <c r="W567">
        <v>18</v>
      </c>
    </row>
    <row r="568" spans="1:23">
      <c r="A568"/>
      <c r="B568" t="s">
        <v>68</v>
      </c>
      <c r="C568" t="s">
        <v>68</v>
      </c>
      <c r="D568" t="s">
        <v>37</v>
      </c>
      <c r="E568" t="s">
        <v>38</v>
      </c>
      <c r="F568" t="str">
        <f>"0000676"</f>
        <v>0000676</v>
      </c>
      <c r="G568">
        <v>1</v>
      </c>
      <c r="H568" t="str">
        <f>"00000000"</f>
        <v>00000000</v>
      </c>
      <c r="I568" t="s">
        <v>39</v>
      </c>
      <c r="J568"/>
      <c r="K568">
        <v>271.19</v>
      </c>
      <c r="L568">
        <v>0.0</v>
      </c>
      <c r="M568"/>
      <c r="N568"/>
      <c r="O568">
        <v>48.81</v>
      </c>
      <c r="P568">
        <v>0.0</v>
      </c>
      <c r="Q568">
        <v>320.0</v>
      </c>
      <c r="R568"/>
      <c r="S568"/>
      <c r="T568"/>
      <c r="U568"/>
      <c r="V568"/>
      <c r="W568">
        <v>18</v>
      </c>
    </row>
    <row r="569" spans="1:23">
      <c r="A569"/>
      <c r="B569" t="s">
        <v>68</v>
      </c>
      <c r="C569" t="s">
        <v>68</v>
      </c>
      <c r="D569" t="s">
        <v>37</v>
      </c>
      <c r="E569" t="s">
        <v>38</v>
      </c>
      <c r="F569" t="str">
        <f>"0000677"</f>
        <v>0000677</v>
      </c>
      <c r="G569">
        <v>1</v>
      </c>
      <c r="H569" t="str">
        <f>"00000000"</f>
        <v>00000000</v>
      </c>
      <c r="I569" t="s">
        <v>39</v>
      </c>
      <c r="J569"/>
      <c r="K569">
        <v>296.61</v>
      </c>
      <c r="L569">
        <v>0.0</v>
      </c>
      <c r="M569"/>
      <c r="N569"/>
      <c r="O569">
        <v>53.39</v>
      </c>
      <c r="P569">
        <v>0.0</v>
      </c>
      <c r="Q569">
        <v>350.0</v>
      </c>
      <c r="R569"/>
      <c r="S569"/>
      <c r="T569"/>
      <c r="U569"/>
      <c r="V569"/>
      <c r="W569">
        <v>18</v>
      </c>
    </row>
    <row r="570" spans="1:23">
      <c r="A570"/>
      <c r="B570" t="s">
        <v>68</v>
      </c>
      <c r="C570" t="s">
        <v>68</v>
      </c>
      <c r="D570" t="s">
        <v>37</v>
      </c>
      <c r="E570" t="s">
        <v>38</v>
      </c>
      <c r="F570" t="str">
        <f>"0000678"</f>
        <v>0000678</v>
      </c>
      <c r="G570">
        <v>1</v>
      </c>
      <c r="H570" t="str">
        <f>"00000000"</f>
        <v>00000000</v>
      </c>
      <c r="I570" t="s">
        <v>39</v>
      </c>
      <c r="J570"/>
      <c r="K570">
        <v>190.68</v>
      </c>
      <c r="L570">
        <v>0.0</v>
      </c>
      <c r="M570"/>
      <c r="N570"/>
      <c r="O570">
        <v>34.32</v>
      </c>
      <c r="P570">
        <v>0.0</v>
      </c>
      <c r="Q570">
        <v>225.0</v>
      </c>
      <c r="R570"/>
      <c r="S570"/>
      <c r="T570"/>
      <c r="U570"/>
      <c r="V570"/>
      <c r="W570">
        <v>18</v>
      </c>
    </row>
    <row r="571" spans="1:23">
      <c r="A571"/>
      <c r="B571" t="s">
        <v>68</v>
      </c>
      <c r="C571" t="s">
        <v>68</v>
      </c>
      <c r="D571" t="s">
        <v>37</v>
      </c>
      <c r="E571" t="s">
        <v>38</v>
      </c>
      <c r="F571" t="str">
        <f>"0000679"</f>
        <v>0000679</v>
      </c>
      <c r="G571">
        <v>1</v>
      </c>
      <c r="H571" t="str">
        <f>"00000000"</f>
        <v>00000000</v>
      </c>
      <c r="I571" t="s">
        <v>39</v>
      </c>
      <c r="J571"/>
      <c r="K571">
        <v>296.61</v>
      </c>
      <c r="L571">
        <v>0.0</v>
      </c>
      <c r="M571"/>
      <c r="N571"/>
      <c r="O571">
        <v>53.39</v>
      </c>
      <c r="P571">
        <v>0.0</v>
      </c>
      <c r="Q571">
        <v>350.0</v>
      </c>
      <c r="R571"/>
      <c r="S571"/>
      <c r="T571"/>
      <c r="U571"/>
      <c r="V571"/>
      <c r="W571">
        <v>18</v>
      </c>
    </row>
    <row r="572" spans="1:23">
      <c r="A572"/>
      <c r="B572" t="s">
        <v>68</v>
      </c>
      <c r="C572" t="s">
        <v>68</v>
      </c>
      <c r="D572" t="s">
        <v>37</v>
      </c>
      <c r="E572" t="s">
        <v>38</v>
      </c>
      <c r="F572" t="str">
        <f>"0000680"</f>
        <v>0000680</v>
      </c>
      <c r="G572">
        <v>1</v>
      </c>
      <c r="H572" t="str">
        <f>"00000000"</f>
        <v>00000000</v>
      </c>
      <c r="I572" t="s">
        <v>39</v>
      </c>
      <c r="J572"/>
      <c r="K572">
        <v>127.12</v>
      </c>
      <c r="L572">
        <v>0.0</v>
      </c>
      <c r="M572"/>
      <c r="N572"/>
      <c r="O572">
        <v>22.88</v>
      </c>
      <c r="P572">
        <v>0.0</v>
      </c>
      <c r="Q572">
        <v>150.0</v>
      </c>
      <c r="R572"/>
      <c r="S572"/>
      <c r="T572"/>
      <c r="U572"/>
      <c r="V572"/>
      <c r="W572">
        <v>18</v>
      </c>
    </row>
    <row r="573" spans="1:23">
      <c r="A573"/>
      <c r="B573" t="s">
        <v>68</v>
      </c>
      <c r="C573" t="s">
        <v>68</v>
      </c>
      <c r="D573" t="s">
        <v>37</v>
      </c>
      <c r="E573" t="s">
        <v>38</v>
      </c>
      <c r="F573" t="str">
        <f>"0000681"</f>
        <v>0000681</v>
      </c>
      <c r="G573">
        <v>1</v>
      </c>
      <c r="H573" t="str">
        <f>"00000000"</f>
        <v>00000000</v>
      </c>
      <c r="I573" t="s">
        <v>39</v>
      </c>
      <c r="J573"/>
      <c r="K573">
        <v>152.54</v>
      </c>
      <c r="L573">
        <v>0.0</v>
      </c>
      <c r="M573"/>
      <c r="N573"/>
      <c r="O573">
        <v>27.46</v>
      </c>
      <c r="P573">
        <v>0.0</v>
      </c>
      <c r="Q573">
        <v>180.0</v>
      </c>
      <c r="R573"/>
      <c r="S573"/>
      <c r="T573"/>
      <c r="U573"/>
      <c r="V573"/>
      <c r="W573">
        <v>18</v>
      </c>
    </row>
    <row r="574" spans="1:23">
      <c r="A574"/>
      <c r="B574" t="s">
        <v>68</v>
      </c>
      <c r="C574" t="s">
        <v>68</v>
      </c>
      <c r="D574" t="s">
        <v>37</v>
      </c>
      <c r="E574" t="s">
        <v>38</v>
      </c>
      <c r="F574" t="str">
        <f>"0000682"</f>
        <v>0000682</v>
      </c>
      <c r="G574">
        <v>1</v>
      </c>
      <c r="H574" t="str">
        <f>"00000000"</f>
        <v>00000000</v>
      </c>
      <c r="I574" t="s">
        <v>39</v>
      </c>
      <c r="J574"/>
      <c r="K574">
        <v>338.98</v>
      </c>
      <c r="L574">
        <v>0.0</v>
      </c>
      <c r="M574"/>
      <c r="N574"/>
      <c r="O574">
        <v>61.02</v>
      </c>
      <c r="P574">
        <v>0.0</v>
      </c>
      <c r="Q574">
        <v>400.0</v>
      </c>
      <c r="R574"/>
      <c r="S574"/>
      <c r="T574"/>
      <c r="U574"/>
      <c r="V574"/>
      <c r="W574">
        <v>18</v>
      </c>
    </row>
    <row r="575" spans="1:23">
      <c r="A575"/>
      <c r="B575" t="s">
        <v>69</v>
      </c>
      <c r="C575" t="s">
        <v>69</v>
      </c>
      <c r="D575" t="s">
        <v>37</v>
      </c>
      <c r="E575" t="s">
        <v>38</v>
      </c>
      <c r="F575" t="str">
        <f>"0000683"</f>
        <v>0000683</v>
      </c>
      <c r="G575">
        <v>1</v>
      </c>
      <c r="H575" t="str">
        <f>"19211294"</f>
        <v>19211294</v>
      </c>
      <c r="I575" t="s">
        <v>70</v>
      </c>
      <c r="J575"/>
      <c r="K575">
        <v>567.37</v>
      </c>
      <c r="L575">
        <v>0.0</v>
      </c>
      <c r="M575"/>
      <c r="N575"/>
      <c r="O575">
        <v>102.13</v>
      </c>
      <c r="P575">
        <v>0.0</v>
      </c>
      <c r="Q575">
        <v>669.5</v>
      </c>
      <c r="R575"/>
      <c r="S575"/>
      <c r="T575"/>
      <c r="U575"/>
      <c r="V575"/>
      <c r="W575">
        <v>18</v>
      </c>
    </row>
    <row r="576" spans="1:23">
      <c r="A576"/>
      <c r="B576" t="s">
        <v>69</v>
      </c>
      <c r="C576" t="s">
        <v>69</v>
      </c>
      <c r="D576" t="s">
        <v>37</v>
      </c>
      <c r="E576" t="s">
        <v>38</v>
      </c>
      <c r="F576" t="str">
        <f>"0000684"</f>
        <v>0000684</v>
      </c>
      <c r="G576">
        <v>1</v>
      </c>
      <c r="H576" t="str">
        <f>"00000000"</f>
        <v>00000000</v>
      </c>
      <c r="I576" t="s">
        <v>39</v>
      </c>
      <c r="J576"/>
      <c r="K576">
        <v>330.51</v>
      </c>
      <c r="L576">
        <v>0.0</v>
      </c>
      <c r="M576"/>
      <c r="N576"/>
      <c r="O576">
        <v>59.49</v>
      </c>
      <c r="P576">
        <v>0.0</v>
      </c>
      <c r="Q576">
        <v>390.0</v>
      </c>
      <c r="R576"/>
      <c r="S576"/>
      <c r="T576"/>
      <c r="U576"/>
      <c r="V576"/>
      <c r="W576">
        <v>18</v>
      </c>
    </row>
    <row r="577" spans="1:23">
      <c r="A577"/>
      <c r="B577" t="s">
        <v>69</v>
      </c>
      <c r="C577" t="s">
        <v>69</v>
      </c>
      <c r="D577" t="s">
        <v>37</v>
      </c>
      <c r="E577" t="s">
        <v>38</v>
      </c>
      <c r="F577" t="str">
        <f>"0000685"</f>
        <v>0000685</v>
      </c>
      <c r="G577">
        <v>1</v>
      </c>
      <c r="H577" t="str">
        <f>"00000000"</f>
        <v>00000000</v>
      </c>
      <c r="I577" t="s">
        <v>39</v>
      </c>
      <c r="J577"/>
      <c r="K577">
        <v>254.24</v>
      </c>
      <c r="L577">
        <v>0.0</v>
      </c>
      <c r="M577"/>
      <c r="N577"/>
      <c r="O577">
        <v>45.76</v>
      </c>
      <c r="P577">
        <v>0.0</v>
      </c>
      <c r="Q577">
        <v>300.0</v>
      </c>
      <c r="R577"/>
      <c r="S577"/>
      <c r="T577"/>
      <c r="U577"/>
      <c r="V577"/>
      <c r="W577">
        <v>18</v>
      </c>
    </row>
    <row r="578" spans="1:23">
      <c r="A578"/>
      <c r="B578" t="s">
        <v>69</v>
      </c>
      <c r="C578" t="s">
        <v>69</v>
      </c>
      <c r="D578" t="s">
        <v>37</v>
      </c>
      <c r="E578" t="s">
        <v>38</v>
      </c>
      <c r="F578" t="str">
        <f>"0000686"</f>
        <v>0000686</v>
      </c>
      <c r="G578">
        <v>1</v>
      </c>
      <c r="H578" t="str">
        <f>"00000000"</f>
        <v>00000000</v>
      </c>
      <c r="I578" t="s">
        <v>39</v>
      </c>
      <c r="J578"/>
      <c r="K578">
        <v>338.98</v>
      </c>
      <c r="L578">
        <v>0.0</v>
      </c>
      <c r="M578"/>
      <c r="N578"/>
      <c r="O578">
        <v>61.02</v>
      </c>
      <c r="P578">
        <v>0.0</v>
      </c>
      <c r="Q578">
        <v>400.0</v>
      </c>
      <c r="R578"/>
      <c r="S578"/>
      <c r="T578"/>
      <c r="U578"/>
      <c r="V578"/>
      <c r="W578">
        <v>18</v>
      </c>
    </row>
    <row r="579" spans="1:23">
      <c r="A579"/>
      <c r="B579" t="s">
        <v>69</v>
      </c>
      <c r="C579" t="s">
        <v>69</v>
      </c>
      <c r="D579" t="s">
        <v>37</v>
      </c>
      <c r="E579" t="s">
        <v>38</v>
      </c>
      <c r="F579" t="str">
        <f>"0000687"</f>
        <v>0000687</v>
      </c>
      <c r="G579">
        <v>1</v>
      </c>
      <c r="H579" t="str">
        <f>"00000000"</f>
        <v>00000000</v>
      </c>
      <c r="I579" t="s">
        <v>39</v>
      </c>
      <c r="J579"/>
      <c r="K579">
        <v>279.66</v>
      </c>
      <c r="L579">
        <v>0.0</v>
      </c>
      <c r="M579"/>
      <c r="N579"/>
      <c r="O579">
        <v>50.34</v>
      </c>
      <c r="P579">
        <v>0.0</v>
      </c>
      <c r="Q579">
        <v>330.0</v>
      </c>
      <c r="R579"/>
      <c r="S579"/>
      <c r="T579"/>
      <c r="U579"/>
      <c r="V579"/>
      <c r="W579">
        <v>18</v>
      </c>
    </row>
    <row r="580" spans="1:23">
      <c r="A580"/>
      <c r="B580" t="s">
        <v>69</v>
      </c>
      <c r="C580" t="s">
        <v>69</v>
      </c>
      <c r="D580" t="s">
        <v>37</v>
      </c>
      <c r="E580" t="s">
        <v>38</v>
      </c>
      <c r="F580" t="str">
        <f>"0000688"</f>
        <v>0000688</v>
      </c>
      <c r="G580">
        <v>1</v>
      </c>
      <c r="H580" t="str">
        <f>"00000000"</f>
        <v>00000000</v>
      </c>
      <c r="I580" t="s">
        <v>39</v>
      </c>
      <c r="J580"/>
      <c r="K580">
        <v>254.24</v>
      </c>
      <c r="L580">
        <v>0.0</v>
      </c>
      <c r="M580"/>
      <c r="N580"/>
      <c r="O580">
        <v>45.76</v>
      </c>
      <c r="P580">
        <v>0.0</v>
      </c>
      <c r="Q580">
        <v>300.0</v>
      </c>
      <c r="R580"/>
      <c r="S580"/>
      <c r="T580"/>
      <c r="U580"/>
      <c r="V580"/>
      <c r="W580">
        <v>18</v>
      </c>
    </row>
    <row r="581" spans="1:23">
      <c r="A581"/>
      <c r="B581" t="s">
        <v>69</v>
      </c>
      <c r="C581" t="s">
        <v>69</v>
      </c>
      <c r="D581" t="s">
        <v>37</v>
      </c>
      <c r="E581" t="s">
        <v>38</v>
      </c>
      <c r="F581" t="str">
        <f>"0000689"</f>
        <v>0000689</v>
      </c>
      <c r="G581">
        <v>1</v>
      </c>
      <c r="H581" t="str">
        <f>"00000000"</f>
        <v>00000000</v>
      </c>
      <c r="I581" t="s">
        <v>39</v>
      </c>
      <c r="J581"/>
      <c r="K581">
        <v>275.42</v>
      </c>
      <c r="L581">
        <v>0.0</v>
      </c>
      <c r="M581"/>
      <c r="N581"/>
      <c r="O581">
        <v>49.58</v>
      </c>
      <c r="P581">
        <v>0.0</v>
      </c>
      <c r="Q581">
        <v>325.0</v>
      </c>
      <c r="R581"/>
      <c r="S581"/>
      <c r="T581"/>
      <c r="U581"/>
      <c r="V581"/>
      <c r="W581">
        <v>18</v>
      </c>
    </row>
    <row r="582" spans="1:23">
      <c r="A582"/>
      <c r="B582" t="s">
        <v>69</v>
      </c>
      <c r="C582" t="s">
        <v>69</v>
      </c>
      <c r="D582" t="s">
        <v>37</v>
      </c>
      <c r="E582" t="s">
        <v>38</v>
      </c>
      <c r="F582" t="str">
        <f>"0000690"</f>
        <v>0000690</v>
      </c>
      <c r="G582">
        <v>1</v>
      </c>
      <c r="H582" t="str">
        <f>"00000000"</f>
        <v>00000000</v>
      </c>
      <c r="I582" t="s">
        <v>39</v>
      </c>
      <c r="J582"/>
      <c r="K582">
        <v>330.51</v>
      </c>
      <c r="L582">
        <v>0.0</v>
      </c>
      <c r="M582"/>
      <c r="N582"/>
      <c r="O582">
        <v>59.49</v>
      </c>
      <c r="P582">
        <v>0.0</v>
      </c>
      <c r="Q582">
        <v>390.0</v>
      </c>
      <c r="R582"/>
      <c r="S582"/>
      <c r="T582"/>
      <c r="U582"/>
      <c r="V582"/>
      <c r="W582">
        <v>18</v>
      </c>
    </row>
    <row r="583" spans="1:23">
      <c r="A583"/>
      <c r="B583" t="s">
        <v>69</v>
      </c>
      <c r="C583" t="s">
        <v>69</v>
      </c>
      <c r="D583" t="s">
        <v>37</v>
      </c>
      <c r="E583" t="s">
        <v>38</v>
      </c>
      <c r="F583" t="str">
        <f>"0000691"</f>
        <v>0000691</v>
      </c>
      <c r="G583">
        <v>1</v>
      </c>
      <c r="H583" t="str">
        <f>"00000000"</f>
        <v>00000000</v>
      </c>
      <c r="I583" t="s">
        <v>39</v>
      </c>
      <c r="J583"/>
      <c r="K583">
        <v>296.61</v>
      </c>
      <c r="L583">
        <v>0.0</v>
      </c>
      <c r="M583"/>
      <c r="N583"/>
      <c r="O583">
        <v>53.39</v>
      </c>
      <c r="P583">
        <v>0.0</v>
      </c>
      <c r="Q583">
        <v>350.0</v>
      </c>
      <c r="R583"/>
      <c r="S583"/>
      <c r="T583"/>
      <c r="U583"/>
      <c r="V583"/>
      <c r="W583">
        <v>18</v>
      </c>
    </row>
    <row r="584" spans="1:23">
      <c r="A584"/>
      <c r="B584" t="s">
        <v>69</v>
      </c>
      <c r="C584" t="s">
        <v>69</v>
      </c>
      <c r="D584" t="s">
        <v>37</v>
      </c>
      <c r="E584" t="s">
        <v>38</v>
      </c>
      <c r="F584" t="str">
        <f>"0000692"</f>
        <v>0000692</v>
      </c>
      <c r="G584">
        <v>1</v>
      </c>
      <c r="H584" t="str">
        <f>"00000000"</f>
        <v>00000000</v>
      </c>
      <c r="I584" t="s">
        <v>39</v>
      </c>
      <c r="J584"/>
      <c r="K584">
        <v>406.78</v>
      </c>
      <c r="L584">
        <v>0.0</v>
      </c>
      <c r="M584"/>
      <c r="N584"/>
      <c r="O584">
        <v>73.22</v>
      </c>
      <c r="P584">
        <v>0.0</v>
      </c>
      <c r="Q584">
        <v>480.0</v>
      </c>
      <c r="R584"/>
      <c r="S584"/>
      <c r="T584"/>
      <c r="U584"/>
      <c r="V584"/>
      <c r="W584">
        <v>18</v>
      </c>
    </row>
    <row r="585" spans="1:23">
      <c r="A585"/>
      <c r="B585" t="s">
        <v>69</v>
      </c>
      <c r="C585" t="s">
        <v>69</v>
      </c>
      <c r="D585" t="s">
        <v>37</v>
      </c>
      <c r="E585" t="s">
        <v>38</v>
      </c>
      <c r="F585" t="str">
        <f>"0000693"</f>
        <v>0000693</v>
      </c>
      <c r="G585">
        <v>1</v>
      </c>
      <c r="H585" t="str">
        <f>"00000000"</f>
        <v>00000000</v>
      </c>
      <c r="I585" t="s">
        <v>39</v>
      </c>
      <c r="J585"/>
      <c r="K585">
        <v>355.93</v>
      </c>
      <c r="L585">
        <v>0.0</v>
      </c>
      <c r="M585"/>
      <c r="N585"/>
      <c r="O585">
        <v>64.07</v>
      </c>
      <c r="P585">
        <v>0.0</v>
      </c>
      <c r="Q585">
        <v>420.0</v>
      </c>
      <c r="R585"/>
      <c r="S585"/>
      <c r="T585"/>
      <c r="U585"/>
      <c r="V585"/>
      <c r="W585">
        <v>18</v>
      </c>
    </row>
    <row r="586" spans="1:23">
      <c r="A586"/>
      <c r="B586" t="s">
        <v>69</v>
      </c>
      <c r="C586" t="s">
        <v>69</v>
      </c>
      <c r="D586" t="s">
        <v>37</v>
      </c>
      <c r="E586" t="s">
        <v>38</v>
      </c>
      <c r="F586" t="str">
        <f>"0000694"</f>
        <v>0000694</v>
      </c>
      <c r="G586">
        <v>1</v>
      </c>
      <c r="H586" t="str">
        <f>"00000000"</f>
        <v>00000000</v>
      </c>
      <c r="I586" t="s">
        <v>39</v>
      </c>
      <c r="J586"/>
      <c r="K586">
        <v>338.98</v>
      </c>
      <c r="L586">
        <v>0.0</v>
      </c>
      <c r="M586"/>
      <c r="N586"/>
      <c r="O586">
        <v>61.02</v>
      </c>
      <c r="P586">
        <v>0.0</v>
      </c>
      <c r="Q586">
        <v>400.0</v>
      </c>
      <c r="R586"/>
      <c r="S586"/>
      <c r="T586"/>
      <c r="U586"/>
      <c r="V586"/>
      <c r="W586">
        <v>18</v>
      </c>
    </row>
    <row r="587" spans="1:23">
      <c r="A587"/>
      <c r="B587" t="s">
        <v>69</v>
      </c>
      <c r="C587" t="s">
        <v>69</v>
      </c>
      <c r="D587" t="s">
        <v>37</v>
      </c>
      <c r="E587" t="s">
        <v>38</v>
      </c>
      <c r="F587" t="str">
        <f>"0000695"</f>
        <v>0000695</v>
      </c>
      <c r="G587">
        <v>1</v>
      </c>
      <c r="H587" t="str">
        <f>"00000000"</f>
        <v>00000000</v>
      </c>
      <c r="I587" t="s">
        <v>39</v>
      </c>
      <c r="J587"/>
      <c r="K587">
        <v>338.98</v>
      </c>
      <c r="L587">
        <v>0.0</v>
      </c>
      <c r="M587"/>
      <c r="N587"/>
      <c r="O587">
        <v>61.02</v>
      </c>
      <c r="P587">
        <v>0.0</v>
      </c>
      <c r="Q587">
        <v>400.0</v>
      </c>
      <c r="R587"/>
      <c r="S587"/>
      <c r="T587"/>
      <c r="U587"/>
      <c r="V587"/>
      <c r="W587">
        <v>18</v>
      </c>
    </row>
    <row r="588" spans="1:23">
      <c r="A588"/>
      <c r="B588" t="s">
        <v>69</v>
      </c>
      <c r="C588" t="s">
        <v>69</v>
      </c>
      <c r="D588" t="s">
        <v>37</v>
      </c>
      <c r="E588" t="s">
        <v>38</v>
      </c>
      <c r="F588" t="str">
        <f>"0000696"</f>
        <v>0000696</v>
      </c>
      <c r="G588">
        <v>1</v>
      </c>
      <c r="H588" t="str">
        <f>"00000000"</f>
        <v>00000000</v>
      </c>
      <c r="I588" t="s">
        <v>39</v>
      </c>
      <c r="J588"/>
      <c r="K588">
        <v>296.61</v>
      </c>
      <c r="L588">
        <v>0.0</v>
      </c>
      <c r="M588"/>
      <c r="N588"/>
      <c r="O588">
        <v>53.39</v>
      </c>
      <c r="P588">
        <v>0.0</v>
      </c>
      <c r="Q588">
        <v>350.0</v>
      </c>
      <c r="R588"/>
      <c r="S588"/>
      <c r="T588"/>
      <c r="U588"/>
      <c r="V588"/>
      <c r="W588">
        <v>18</v>
      </c>
    </row>
    <row r="589" spans="1:23">
      <c r="A589"/>
      <c r="B589" t="s">
        <v>69</v>
      </c>
      <c r="C589" t="s">
        <v>69</v>
      </c>
      <c r="D589" t="s">
        <v>37</v>
      </c>
      <c r="E589" t="s">
        <v>38</v>
      </c>
      <c r="F589" t="str">
        <f>"0000697"</f>
        <v>0000697</v>
      </c>
      <c r="G589">
        <v>1</v>
      </c>
      <c r="H589" t="str">
        <f>"00000000"</f>
        <v>00000000</v>
      </c>
      <c r="I589" t="s">
        <v>39</v>
      </c>
      <c r="J589"/>
      <c r="K589">
        <v>220.34</v>
      </c>
      <c r="L589">
        <v>0.0</v>
      </c>
      <c r="M589"/>
      <c r="N589"/>
      <c r="O589">
        <v>39.66</v>
      </c>
      <c r="P589">
        <v>0.0</v>
      </c>
      <c r="Q589">
        <v>260.0</v>
      </c>
      <c r="R589"/>
      <c r="S589"/>
      <c r="T589"/>
      <c r="U589"/>
      <c r="V589"/>
      <c r="W589">
        <v>18</v>
      </c>
    </row>
    <row r="590" spans="1:23">
      <c r="A590"/>
      <c r="B590" t="s">
        <v>69</v>
      </c>
      <c r="C590" t="s">
        <v>69</v>
      </c>
      <c r="D590" t="s">
        <v>37</v>
      </c>
      <c r="E590" t="s">
        <v>38</v>
      </c>
      <c r="F590" t="str">
        <f>"0000698"</f>
        <v>0000698</v>
      </c>
      <c r="G590">
        <v>1</v>
      </c>
      <c r="H590" t="str">
        <f>"00000000"</f>
        <v>00000000</v>
      </c>
      <c r="I590" t="s">
        <v>39</v>
      </c>
      <c r="J590"/>
      <c r="K590">
        <v>372.88</v>
      </c>
      <c r="L590">
        <v>0.0</v>
      </c>
      <c r="M590"/>
      <c r="N590"/>
      <c r="O590">
        <v>67.12</v>
      </c>
      <c r="P590">
        <v>0.0</v>
      </c>
      <c r="Q590">
        <v>440.0</v>
      </c>
      <c r="R590"/>
      <c r="S590"/>
      <c r="T590"/>
      <c r="U590"/>
      <c r="V590"/>
      <c r="W590">
        <v>18</v>
      </c>
    </row>
    <row r="591" spans="1:23">
      <c r="A591"/>
      <c r="B591" t="s">
        <v>69</v>
      </c>
      <c r="C591" t="s">
        <v>69</v>
      </c>
      <c r="D591" t="s">
        <v>37</v>
      </c>
      <c r="E591" t="s">
        <v>38</v>
      </c>
      <c r="F591" t="str">
        <f>"0000699"</f>
        <v>0000699</v>
      </c>
      <c r="G591">
        <v>1</v>
      </c>
      <c r="H591" t="str">
        <f>"00000000"</f>
        <v>00000000</v>
      </c>
      <c r="I591" t="s">
        <v>39</v>
      </c>
      <c r="J591"/>
      <c r="K591">
        <v>254.24</v>
      </c>
      <c r="L591">
        <v>0.0</v>
      </c>
      <c r="M591"/>
      <c r="N591"/>
      <c r="O591">
        <v>45.76</v>
      </c>
      <c r="P591">
        <v>0.0</v>
      </c>
      <c r="Q591">
        <v>300.0</v>
      </c>
      <c r="R591"/>
      <c r="S591"/>
      <c r="T591"/>
      <c r="U591"/>
      <c r="V591"/>
      <c r="W591">
        <v>18</v>
      </c>
    </row>
    <row r="592" spans="1:23">
      <c r="A592"/>
      <c r="B592" t="s">
        <v>69</v>
      </c>
      <c r="C592" t="s">
        <v>69</v>
      </c>
      <c r="D592" t="s">
        <v>37</v>
      </c>
      <c r="E592" t="s">
        <v>38</v>
      </c>
      <c r="F592" t="str">
        <f>"0000700"</f>
        <v>0000700</v>
      </c>
      <c r="G592">
        <v>1</v>
      </c>
      <c r="H592" t="str">
        <f>"00000000"</f>
        <v>00000000</v>
      </c>
      <c r="I592" t="s">
        <v>39</v>
      </c>
      <c r="J592"/>
      <c r="K592">
        <v>305.08</v>
      </c>
      <c r="L592">
        <v>0.0</v>
      </c>
      <c r="M592"/>
      <c r="N592"/>
      <c r="O592">
        <v>54.92</v>
      </c>
      <c r="P592">
        <v>0.0</v>
      </c>
      <c r="Q592">
        <v>360.0</v>
      </c>
      <c r="R592"/>
      <c r="S592"/>
      <c r="T592"/>
      <c r="U592"/>
      <c r="V592"/>
      <c r="W592">
        <v>18</v>
      </c>
    </row>
    <row r="593" spans="1:23">
      <c r="A593"/>
      <c r="B593" t="s">
        <v>69</v>
      </c>
      <c r="C593" t="s">
        <v>69</v>
      </c>
      <c r="D593" t="s">
        <v>37</v>
      </c>
      <c r="E593" t="s">
        <v>38</v>
      </c>
      <c r="F593" t="str">
        <f>"0000701"</f>
        <v>0000701</v>
      </c>
      <c r="G593">
        <v>1</v>
      </c>
      <c r="H593" t="str">
        <f>"00000000"</f>
        <v>00000000</v>
      </c>
      <c r="I593" t="s">
        <v>39</v>
      </c>
      <c r="J593"/>
      <c r="K593">
        <v>338.98</v>
      </c>
      <c r="L593">
        <v>0.0</v>
      </c>
      <c r="M593"/>
      <c r="N593"/>
      <c r="O593">
        <v>61.02</v>
      </c>
      <c r="P593">
        <v>0.0</v>
      </c>
      <c r="Q593">
        <v>400.0</v>
      </c>
      <c r="R593"/>
      <c r="S593"/>
      <c r="T593"/>
      <c r="U593"/>
      <c r="V593"/>
      <c r="W593">
        <v>18</v>
      </c>
    </row>
    <row r="594" spans="1:23">
      <c r="A594"/>
      <c r="B594" t="s">
        <v>69</v>
      </c>
      <c r="C594" t="s">
        <v>69</v>
      </c>
      <c r="D594" t="s">
        <v>37</v>
      </c>
      <c r="E594" t="s">
        <v>38</v>
      </c>
      <c r="F594" t="str">
        <f>"0000702"</f>
        <v>0000702</v>
      </c>
      <c r="G594">
        <v>1</v>
      </c>
      <c r="H594" t="str">
        <f>"00000000"</f>
        <v>00000000</v>
      </c>
      <c r="I594" t="s">
        <v>39</v>
      </c>
      <c r="J594"/>
      <c r="K594">
        <v>402.54</v>
      </c>
      <c r="L594">
        <v>0.0</v>
      </c>
      <c r="M594"/>
      <c r="N594"/>
      <c r="O594">
        <v>72.46</v>
      </c>
      <c r="P594">
        <v>0.0</v>
      </c>
      <c r="Q594">
        <v>475.0</v>
      </c>
      <c r="R594"/>
      <c r="S594"/>
      <c r="T594"/>
      <c r="U594"/>
      <c r="V594"/>
      <c r="W594">
        <v>18</v>
      </c>
    </row>
    <row r="595" spans="1:23">
      <c r="A595"/>
      <c r="B595" t="s">
        <v>69</v>
      </c>
      <c r="C595" t="s">
        <v>69</v>
      </c>
      <c r="D595" t="s">
        <v>37</v>
      </c>
      <c r="E595" t="s">
        <v>38</v>
      </c>
      <c r="F595" t="str">
        <f>"0000703"</f>
        <v>0000703</v>
      </c>
      <c r="G595">
        <v>1</v>
      </c>
      <c r="H595" t="str">
        <f>"00000000"</f>
        <v>00000000</v>
      </c>
      <c r="I595" t="s">
        <v>39</v>
      </c>
      <c r="J595"/>
      <c r="K595">
        <v>322.03</v>
      </c>
      <c r="L595">
        <v>0.0</v>
      </c>
      <c r="M595"/>
      <c r="N595"/>
      <c r="O595">
        <v>57.97</v>
      </c>
      <c r="P595">
        <v>0.0</v>
      </c>
      <c r="Q595">
        <v>380.0</v>
      </c>
      <c r="R595"/>
      <c r="S595"/>
      <c r="T595"/>
      <c r="U595"/>
      <c r="V595"/>
      <c r="W595">
        <v>18</v>
      </c>
    </row>
    <row r="596" spans="1:23">
      <c r="A596"/>
      <c r="B596" t="s">
        <v>69</v>
      </c>
      <c r="C596" t="s">
        <v>69</v>
      </c>
      <c r="D596" t="s">
        <v>37</v>
      </c>
      <c r="E596" t="s">
        <v>38</v>
      </c>
      <c r="F596" t="str">
        <f>"0000704"</f>
        <v>0000704</v>
      </c>
      <c r="G596">
        <v>1</v>
      </c>
      <c r="H596" t="str">
        <f>"00000000"</f>
        <v>00000000</v>
      </c>
      <c r="I596" t="s">
        <v>39</v>
      </c>
      <c r="J596"/>
      <c r="K596">
        <v>254.24</v>
      </c>
      <c r="L596">
        <v>0.0</v>
      </c>
      <c r="M596"/>
      <c r="N596"/>
      <c r="O596">
        <v>45.76</v>
      </c>
      <c r="P596">
        <v>0.0</v>
      </c>
      <c r="Q596">
        <v>300.0</v>
      </c>
      <c r="R596"/>
      <c r="S596"/>
      <c r="T596"/>
      <c r="U596"/>
      <c r="V596"/>
      <c r="W596">
        <v>18</v>
      </c>
    </row>
    <row r="597" spans="1:23">
      <c r="A597"/>
      <c r="B597" t="s">
        <v>69</v>
      </c>
      <c r="C597" t="s">
        <v>69</v>
      </c>
      <c r="D597" t="s">
        <v>37</v>
      </c>
      <c r="E597" t="s">
        <v>38</v>
      </c>
      <c r="F597" t="str">
        <f>"0000705"</f>
        <v>0000705</v>
      </c>
      <c r="G597">
        <v>1</v>
      </c>
      <c r="H597" t="str">
        <f>"00000000"</f>
        <v>00000000</v>
      </c>
      <c r="I597" t="s">
        <v>39</v>
      </c>
      <c r="J597"/>
      <c r="K597">
        <v>381.36</v>
      </c>
      <c r="L597">
        <v>0.0</v>
      </c>
      <c r="M597"/>
      <c r="N597"/>
      <c r="O597">
        <v>68.64</v>
      </c>
      <c r="P597">
        <v>0.0</v>
      </c>
      <c r="Q597">
        <v>450.0</v>
      </c>
      <c r="R597"/>
      <c r="S597"/>
      <c r="T597"/>
      <c r="U597"/>
      <c r="V597"/>
      <c r="W597">
        <v>18</v>
      </c>
    </row>
    <row r="598" spans="1:23">
      <c r="A598"/>
      <c r="B598" t="s">
        <v>69</v>
      </c>
      <c r="C598" t="s">
        <v>69</v>
      </c>
      <c r="D598" t="s">
        <v>37</v>
      </c>
      <c r="E598" t="s">
        <v>38</v>
      </c>
      <c r="F598" t="str">
        <f>"0000706"</f>
        <v>0000706</v>
      </c>
      <c r="G598">
        <v>1</v>
      </c>
      <c r="H598" t="str">
        <f>"00000000"</f>
        <v>00000000</v>
      </c>
      <c r="I598" t="s">
        <v>39</v>
      </c>
      <c r="J598"/>
      <c r="K598">
        <v>254.24</v>
      </c>
      <c r="L598">
        <v>0.0</v>
      </c>
      <c r="M598"/>
      <c r="N598"/>
      <c r="O598">
        <v>45.76</v>
      </c>
      <c r="P598">
        <v>0.0</v>
      </c>
      <c r="Q598">
        <v>300.0</v>
      </c>
      <c r="R598"/>
      <c r="S598"/>
      <c r="T598"/>
      <c r="U598"/>
      <c r="V598"/>
      <c r="W598">
        <v>18</v>
      </c>
    </row>
    <row r="599" spans="1:23">
      <c r="A599"/>
      <c r="B599" t="s">
        <v>69</v>
      </c>
      <c r="C599" t="s">
        <v>69</v>
      </c>
      <c r="D599" t="s">
        <v>37</v>
      </c>
      <c r="E599" t="s">
        <v>38</v>
      </c>
      <c r="F599" t="str">
        <f>"0000707"</f>
        <v>0000707</v>
      </c>
      <c r="G599">
        <v>1</v>
      </c>
      <c r="H599" t="str">
        <f>"00000000"</f>
        <v>00000000</v>
      </c>
      <c r="I599" t="s">
        <v>39</v>
      </c>
      <c r="J599"/>
      <c r="K599">
        <v>169.49</v>
      </c>
      <c r="L599">
        <v>0.0</v>
      </c>
      <c r="M599"/>
      <c r="N599"/>
      <c r="O599">
        <v>30.51</v>
      </c>
      <c r="P599">
        <v>0.0</v>
      </c>
      <c r="Q599">
        <v>200.0</v>
      </c>
      <c r="R599"/>
      <c r="S599"/>
      <c r="T599"/>
      <c r="U599"/>
      <c r="V599"/>
      <c r="W599">
        <v>18</v>
      </c>
    </row>
    <row r="600" spans="1:23">
      <c r="A600"/>
      <c r="B600" t="s">
        <v>69</v>
      </c>
      <c r="C600" t="s">
        <v>69</v>
      </c>
      <c r="D600" t="s">
        <v>37</v>
      </c>
      <c r="E600" t="s">
        <v>38</v>
      </c>
      <c r="F600" t="str">
        <f>"0000708"</f>
        <v>0000708</v>
      </c>
      <c r="G600">
        <v>1</v>
      </c>
      <c r="H600" t="str">
        <f>"00000000"</f>
        <v>00000000</v>
      </c>
      <c r="I600" t="s">
        <v>39</v>
      </c>
      <c r="J600"/>
      <c r="K600">
        <v>194.92</v>
      </c>
      <c r="L600">
        <v>0.0</v>
      </c>
      <c r="M600"/>
      <c r="N600"/>
      <c r="O600">
        <v>35.08</v>
      </c>
      <c r="P600">
        <v>0.0</v>
      </c>
      <c r="Q600">
        <v>230.0</v>
      </c>
      <c r="R600"/>
      <c r="S600"/>
      <c r="T600"/>
      <c r="U600"/>
      <c r="V600"/>
      <c r="W600">
        <v>18</v>
      </c>
    </row>
    <row r="601" spans="1:23">
      <c r="A601"/>
      <c r="B601" t="s">
        <v>69</v>
      </c>
      <c r="C601" t="s">
        <v>69</v>
      </c>
      <c r="D601" t="s">
        <v>37</v>
      </c>
      <c r="E601" t="s">
        <v>38</v>
      </c>
      <c r="F601" t="str">
        <f>"0000709"</f>
        <v>0000709</v>
      </c>
      <c r="G601">
        <v>1</v>
      </c>
      <c r="H601" t="str">
        <f>"00000000"</f>
        <v>00000000</v>
      </c>
      <c r="I601" t="s">
        <v>39</v>
      </c>
      <c r="J601"/>
      <c r="K601">
        <v>406.78</v>
      </c>
      <c r="L601">
        <v>0.0</v>
      </c>
      <c r="M601"/>
      <c r="N601"/>
      <c r="O601">
        <v>73.22</v>
      </c>
      <c r="P601">
        <v>0.0</v>
      </c>
      <c r="Q601">
        <v>480.0</v>
      </c>
      <c r="R601"/>
      <c r="S601"/>
      <c r="T601"/>
      <c r="U601"/>
      <c r="V601"/>
      <c r="W601">
        <v>18</v>
      </c>
    </row>
    <row r="602" spans="1:23">
      <c r="A602"/>
      <c r="B602" t="s">
        <v>69</v>
      </c>
      <c r="C602" t="s">
        <v>69</v>
      </c>
      <c r="D602" t="s">
        <v>37</v>
      </c>
      <c r="E602" t="s">
        <v>38</v>
      </c>
      <c r="F602" t="str">
        <f>"0000710"</f>
        <v>0000710</v>
      </c>
      <c r="G602">
        <v>1</v>
      </c>
      <c r="H602" t="str">
        <f>"00000000"</f>
        <v>00000000</v>
      </c>
      <c r="I602" t="s">
        <v>39</v>
      </c>
      <c r="J602"/>
      <c r="K602">
        <v>296.61</v>
      </c>
      <c r="L602">
        <v>0.0</v>
      </c>
      <c r="M602"/>
      <c r="N602"/>
      <c r="O602">
        <v>53.39</v>
      </c>
      <c r="P602">
        <v>0.0</v>
      </c>
      <c r="Q602">
        <v>350.0</v>
      </c>
      <c r="R602"/>
      <c r="S602"/>
      <c r="T602"/>
      <c r="U602"/>
      <c r="V602"/>
      <c r="W602">
        <v>18</v>
      </c>
    </row>
    <row r="603" spans="1:23">
      <c r="A603"/>
      <c r="B603" t="s">
        <v>71</v>
      </c>
      <c r="C603" t="s">
        <v>71</v>
      </c>
      <c r="D603" t="s">
        <v>33</v>
      </c>
      <c r="E603" t="s">
        <v>34</v>
      </c>
      <c r="F603" t="str">
        <f>"0000025"</f>
        <v>0000025</v>
      </c>
      <c r="G603">
        <v>6</v>
      </c>
      <c r="H603" t="str">
        <f>"20602285279"</f>
        <v>20602285279</v>
      </c>
      <c r="I603" t="s">
        <v>72</v>
      </c>
      <c r="J603"/>
      <c r="K603">
        <v>83.47</v>
      </c>
      <c r="L603">
        <v>0.0</v>
      </c>
      <c r="M603"/>
      <c r="N603"/>
      <c r="O603">
        <v>15.03</v>
      </c>
      <c r="P603">
        <v>0.0</v>
      </c>
      <c r="Q603">
        <v>98.5</v>
      </c>
      <c r="R603"/>
      <c r="S603"/>
      <c r="T603"/>
      <c r="U603"/>
      <c r="V603"/>
      <c r="W603">
        <v>18</v>
      </c>
    </row>
    <row r="604" spans="1:23">
      <c r="A604"/>
      <c r="B604" t="s">
        <v>71</v>
      </c>
      <c r="C604" t="s">
        <v>71</v>
      </c>
      <c r="D604" t="s">
        <v>33</v>
      </c>
      <c r="E604" t="s">
        <v>34</v>
      </c>
      <c r="F604" t="str">
        <f>"0000026"</f>
        <v>0000026</v>
      </c>
      <c r="G604">
        <v>6</v>
      </c>
      <c r="H604" t="str">
        <f>"10436555135"</f>
        <v>10436555135</v>
      </c>
      <c r="I604" t="s">
        <v>73</v>
      </c>
      <c r="J604"/>
      <c r="K604">
        <v>644.07</v>
      </c>
      <c r="L604">
        <v>0.0</v>
      </c>
      <c r="M604"/>
      <c r="N604"/>
      <c r="O604">
        <v>115.93</v>
      </c>
      <c r="P604">
        <v>0.0</v>
      </c>
      <c r="Q604">
        <v>760.0</v>
      </c>
      <c r="R604"/>
      <c r="S604"/>
      <c r="T604"/>
      <c r="U604"/>
      <c r="V604"/>
      <c r="W604">
        <v>18</v>
      </c>
    </row>
    <row r="605" spans="1:23">
      <c r="A605"/>
      <c r="B605" t="s">
        <v>71</v>
      </c>
      <c r="C605" t="s">
        <v>71</v>
      </c>
      <c r="D605" t="s">
        <v>37</v>
      </c>
      <c r="E605" t="s">
        <v>38</v>
      </c>
      <c r="F605" t="str">
        <f>"0000711"</f>
        <v>0000711</v>
      </c>
      <c r="G605">
        <v>1</v>
      </c>
      <c r="H605" t="str">
        <f>"00000000"</f>
        <v>00000000</v>
      </c>
      <c r="I605" t="s">
        <v>39</v>
      </c>
      <c r="J605"/>
      <c r="K605">
        <v>275.42</v>
      </c>
      <c r="L605">
        <v>0.0</v>
      </c>
      <c r="M605"/>
      <c r="N605"/>
      <c r="O605">
        <v>49.58</v>
      </c>
      <c r="P605">
        <v>0.0</v>
      </c>
      <c r="Q605">
        <v>325.0</v>
      </c>
      <c r="R605"/>
      <c r="S605"/>
      <c r="T605"/>
      <c r="U605"/>
      <c r="V605"/>
      <c r="W605">
        <v>18</v>
      </c>
    </row>
    <row r="606" spans="1:23">
      <c r="A606"/>
      <c r="B606" t="s">
        <v>71</v>
      </c>
      <c r="C606" t="s">
        <v>71</v>
      </c>
      <c r="D606" t="s">
        <v>37</v>
      </c>
      <c r="E606" t="s">
        <v>38</v>
      </c>
      <c r="F606" t="str">
        <f>"0000712"</f>
        <v>0000712</v>
      </c>
      <c r="G606">
        <v>1</v>
      </c>
      <c r="H606" t="str">
        <f>"00000000"</f>
        <v>00000000</v>
      </c>
      <c r="I606" t="s">
        <v>39</v>
      </c>
      <c r="J606"/>
      <c r="K606">
        <v>330.51</v>
      </c>
      <c r="L606">
        <v>0.0</v>
      </c>
      <c r="M606"/>
      <c r="N606"/>
      <c r="O606">
        <v>59.49</v>
      </c>
      <c r="P606">
        <v>0.0</v>
      </c>
      <c r="Q606">
        <v>390.0</v>
      </c>
      <c r="R606"/>
      <c r="S606"/>
      <c r="T606"/>
      <c r="U606"/>
      <c r="V606"/>
      <c r="W606">
        <v>18</v>
      </c>
    </row>
    <row r="607" spans="1:23">
      <c r="A607"/>
      <c r="B607" t="s">
        <v>71</v>
      </c>
      <c r="C607" t="s">
        <v>71</v>
      </c>
      <c r="D607" t="s">
        <v>37</v>
      </c>
      <c r="E607" t="s">
        <v>38</v>
      </c>
      <c r="F607" t="str">
        <f>"0000713"</f>
        <v>0000713</v>
      </c>
      <c r="G607">
        <v>1</v>
      </c>
      <c r="H607" t="str">
        <f>"00000000"</f>
        <v>00000000</v>
      </c>
      <c r="I607" t="s">
        <v>39</v>
      </c>
      <c r="J607"/>
      <c r="K607">
        <v>254.24</v>
      </c>
      <c r="L607">
        <v>0.0</v>
      </c>
      <c r="M607"/>
      <c r="N607"/>
      <c r="O607">
        <v>45.76</v>
      </c>
      <c r="P607">
        <v>0.0</v>
      </c>
      <c r="Q607">
        <v>300.0</v>
      </c>
      <c r="R607"/>
      <c r="S607"/>
      <c r="T607"/>
      <c r="U607"/>
      <c r="V607"/>
      <c r="W607">
        <v>18</v>
      </c>
    </row>
    <row r="608" spans="1:23">
      <c r="A608"/>
      <c r="B608" t="s">
        <v>71</v>
      </c>
      <c r="C608" t="s">
        <v>71</v>
      </c>
      <c r="D608" t="s">
        <v>37</v>
      </c>
      <c r="E608" t="s">
        <v>38</v>
      </c>
      <c r="F608" t="str">
        <f>"0000714"</f>
        <v>0000714</v>
      </c>
      <c r="G608">
        <v>1</v>
      </c>
      <c r="H608" t="str">
        <f>"00000000"</f>
        <v>00000000</v>
      </c>
      <c r="I608" t="s">
        <v>39</v>
      </c>
      <c r="J608"/>
      <c r="K608">
        <v>338.98</v>
      </c>
      <c r="L608">
        <v>0.0</v>
      </c>
      <c r="M608"/>
      <c r="N608"/>
      <c r="O608">
        <v>61.02</v>
      </c>
      <c r="P608">
        <v>0.0</v>
      </c>
      <c r="Q608">
        <v>400.0</v>
      </c>
      <c r="R608"/>
      <c r="S608"/>
      <c r="T608"/>
      <c r="U608"/>
      <c r="V608"/>
      <c r="W608">
        <v>18</v>
      </c>
    </row>
    <row r="609" spans="1:23">
      <c r="A609"/>
      <c r="B609" t="s">
        <v>71</v>
      </c>
      <c r="C609" t="s">
        <v>71</v>
      </c>
      <c r="D609" t="s">
        <v>37</v>
      </c>
      <c r="E609" t="s">
        <v>38</v>
      </c>
      <c r="F609" t="str">
        <f>"0000715"</f>
        <v>0000715</v>
      </c>
      <c r="G609">
        <v>1</v>
      </c>
      <c r="H609" t="str">
        <f>"00000000"</f>
        <v>00000000</v>
      </c>
      <c r="I609" t="s">
        <v>39</v>
      </c>
      <c r="J609"/>
      <c r="K609">
        <v>406.78</v>
      </c>
      <c r="L609">
        <v>0.0</v>
      </c>
      <c r="M609"/>
      <c r="N609"/>
      <c r="O609">
        <v>73.22</v>
      </c>
      <c r="P609">
        <v>0.0</v>
      </c>
      <c r="Q609">
        <v>480.0</v>
      </c>
      <c r="R609"/>
      <c r="S609"/>
      <c r="T609"/>
      <c r="U609"/>
      <c r="V609"/>
      <c r="W609">
        <v>18</v>
      </c>
    </row>
    <row r="610" spans="1:23">
      <c r="A610"/>
      <c r="B610" t="s">
        <v>71</v>
      </c>
      <c r="C610" t="s">
        <v>71</v>
      </c>
      <c r="D610" t="s">
        <v>37</v>
      </c>
      <c r="E610" t="s">
        <v>38</v>
      </c>
      <c r="F610" t="str">
        <f>"0000716"</f>
        <v>0000716</v>
      </c>
      <c r="G610">
        <v>1</v>
      </c>
      <c r="H610" t="str">
        <f>"00000000"</f>
        <v>00000000</v>
      </c>
      <c r="I610" t="s">
        <v>39</v>
      </c>
      <c r="J610"/>
      <c r="K610">
        <v>322.03</v>
      </c>
      <c r="L610">
        <v>0.0</v>
      </c>
      <c r="M610"/>
      <c r="N610"/>
      <c r="O610">
        <v>57.97</v>
      </c>
      <c r="P610">
        <v>0.0</v>
      </c>
      <c r="Q610">
        <v>380.0</v>
      </c>
      <c r="R610"/>
      <c r="S610"/>
      <c r="T610"/>
      <c r="U610"/>
      <c r="V610"/>
      <c r="W610">
        <v>18</v>
      </c>
    </row>
    <row r="611" spans="1:23">
      <c r="A611"/>
      <c r="B611" t="s">
        <v>71</v>
      </c>
      <c r="C611" t="s">
        <v>71</v>
      </c>
      <c r="D611" t="s">
        <v>37</v>
      </c>
      <c r="E611" t="s">
        <v>38</v>
      </c>
      <c r="F611" t="str">
        <f>"0000717"</f>
        <v>0000717</v>
      </c>
      <c r="G611">
        <v>1</v>
      </c>
      <c r="H611" t="str">
        <f>"00000000"</f>
        <v>00000000</v>
      </c>
      <c r="I611" t="s">
        <v>39</v>
      </c>
      <c r="J611"/>
      <c r="K611">
        <v>296.61</v>
      </c>
      <c r="L611">
        <v>0.0</v>
      </c>
      <c r="M611"/>
      <c r="N611"/>
      <c r="O611">
        <v>53.39</v>
      </c>
      <c r="P611">
        <v>0.0</v>
      </c>
      <c r="Q611">
        <v>350.0</v>
      </c>
      <c r="R611"/>
      <c r="S611"/>
      <c r="T611"/>
      <c r="U611"/>
      <c r="V611"/>
      <c r="W611">
        <v>18</v>
      </c>
    </row>
    <row r="612" spans="1:23">
      <c r="A612"/>
      <c r="B612" t="s">
        <v>71</v>
      </c>
      <c r="C612" t="s">
        <v>71</v>
      </c>
      <c r="D612" t="s">
        <v>37</v>
      </c>
      <c r="E612" t="s">
        <v>38</v>
      </c>
      <c r="F612" t="str">
        <f>"0000718"</f>
        <v>0000718</v>
      </c>
      <c r="G612">
        <v>1</v>
      </c>
      <c r="H612" t="str">
        <f>"00000000"</f>
        <v>00000000</v>
      </c>
      <c r="I612" t="s">
        <v>39</v>
      </c>
      <c r="J612"/>
      <c r="K612">
        <v>351.69</v>
      </c>
      <c r="L612">
        <v>0.0</v>
      </c>
      <c r="M612"/>
      <c r="N612"/>
      <c r="O612">
        <v>63.31</v>
      </c>
      <c r="P612">
        <v>0.0</v>
      </c>
      <c r="Q612">
        <v>415.0</v>
      </c>
      <c r="R612"/>
      <c r="S612"/>
      <c r="T612"/>
      <c r="U612"/>
      <c r="V612"/>
      <c r="W612">
        <v>18</v>
      </c>
    </row>
    <row r="613" spans="1:23">
      <c r="A613"/>
      <c r="B613" t="s">
        <v>71</v>
      </c>
      <c r="C613" t="s">
        <v>71</v>
      </c>
      <c r="D613" t="s">
        <v>37</v>
      </c>
      <c r="E613" t="s">
        <v>38</v>
      </c>
      <c r="F613" t="str">
        <f>"0000719"</f>
        <v>0000719</v>
      </c>
      <c r="G613">
        <v>1</v>
      </c>
      <c r="H613" t="str">
        <f>"00000000"</f>
        <v>00000000</v>
      </c>
      <c r="I613" t="s">
        <v>39</v>
      </c>
      <c r="J613"/>
      <c r="K613">
        <v>338.98</v>
      </c>
      <c r="L613">
        <v>0.0</v>
      </c>
      <c r="M613"/>
      <c r="N613"/>
      <c r="O613">
        <v>61.02</v>
      </c>
      <c r="P613">
        <v>0.0</v>
      </c>
      <c r="Q613">
        <v>400.0</v>
      </c>
      <c r="R613"/>
      <c r="S613"/>
      <c r="T613"/>
      <c r="U613"/>
      <c r="V613"/>
      <c r="W613">
        <v>18</v>
      </c>
    </row>
    <row r="614" spans="1:23">
      <c r="A614"/>
      <c r="B614" t="s">
        <v>71</v>
      </c>
      <c r="C614" t="s">
        <v>71</v>
      </c>
      <c r="D614" t="s">
        <v>37</v>
      </c>
      <c r="E614" t="s">
        <v>38</v>
      </c>
      <c r="F614" t="str">
        <f>"0000720"</f>
        <v>0000720</v>
      </c>
      <c r="G614">
        <v>1</v>
      </c>
      <c r="H614" t="str">
        <f>"00000000"</f>
        <v>00000000</v>
      </c>
      <c r="I614" t="s">
        <v>39</v>
      </c>
      <c r="J614"/>
      <c r="K614">
        <v>338.98</v>
      </c>
      <c r="L614">
        <v>0.0</v>
      </c>
      <c r="M614"/>
      <c r="N614"/>
      <c r="O614">
        <v>61.02</v>
      </c>
      <c r="P614">
        <v>0.0</v>
      </c>
      <c r="Q614">
        <v>400.0</v>
      </c>
      <c r="R614"/>
      <c r="S614"/>
      <c r="T614"/>
      <c r="U614"/>
      <c r="V614"/>
      <c r="W614">
        <v>18</v>
      </c>
    </row>
    <row r="615" spans="1:23">
      <c r="A615"/>
      <c r="B615" t="s">
        <v>71</v>
      </c>
      <c r="C615" t="s">
        <v>71</v>
      </c>
      <c r="D615" t="s">
        <v>37</v>
      </c>
      <c r="E615" t="s">
        <v>38</v>
      </c>
      <c r="F615" t="str">
        <f>"0000721"</f>
        <v>0000721</v>
      </c>
      <c r="G615">
        <v>1</v>
      </c>
      <c r="H615" t="str">
        <f>"00000000"</f>
        <v>00000000</v>
      </c>
      <c r="I615" t="s">
        <v>39</v>
      </c>
      <c r="J615"/>
      <c r="K615">
        <v>305.08</v>
      </c>
      <c r="L615">
        <v>0.0</v>
      </c>
      <c r="M615"/>
      <c r="N615"/>
      <c r="O615">
        <v>54.92</v>
      </c>
      <c r="P615">
        <v>0.0</v>
      </c>
      <c r="Q615">
        <v>360.0</v>
      </c>
      <c r="R615"/>
      <c r="S615"/>
      <c r="T615"/>
      <c r="U615"/>
      <c r="V615"/>
      <c r="W615">
        <v>18</v>
      </c>
    </row>
    <row r="616" spans="1:23">
      <c r="A616"/>
      <c r="B616" t="s">
        <v>71</v>
      </c>
      <c r="C616" t="s">
        <v>71</v>
      </c>
      <c r="D616" t="s">
        <v>37</v>
      </c>
      <c r="E616" t="s">
        <v>38</v>
      </c>
      <c r="F616" t="str">
        <f>"0000722"</f>
        <v>0000722</v>
      </c>
      <c r="G616">
        <v>1</v>
      </c>
      <c r="H616" t="str">
        <f>"00000000"</f>
        <v>00000000</v>
      </c>
      <c r="I616" t="s">
        <v>39</v>
      </c>
      <c r="J616"/>
      <c r="K616">
        <v>372.88</v>
      </c>
      <c r="L616">
        <v>0.0</v>
      </c>
      <c r="M616"/>
      <c r="N616"/>
      <c r="O616">
        <v>67.12</v>
      </c>
      <c r="P616">
        <v>0.0</v>
      </c>
      <c r="Q616">
        <v>440.0</v>
      </c>
      <c r="R616"/>
      <c r="S616"/>
      <c r="T616"/>
      <c r="U616"/>
      <c r="V616"/>
      <c r="W616">
        <v>18</v>
      </c>
    </row>
    <row r="617" spans="1:23">
      <c r="A617"/>
      <c r="B617" t="s">
        <v>71</v>
      </c>
      <c r="C617" t="s">
        <v>71</v>
      </c>
      <c r="D617" t="s">
        <v>37</v>
      </c>
      <c r="E617" t="s">
        <v>38</v>
      </c>
      <c r="F617" t="str">
        <f>"0000723"</f>
        <v>0000723</v>
      </c>
      <c r="G617">
        <v>1</v>
      </c>
      <c r="H617" t="str">
        <f>"00000000"</f>
        <v>00000000</v>
      </c>
      <c r="I617" t="s">
        <v>39</v>
      </c>
      <c r="J617"/>
      <c r="K617">
        <v>305.08</v>
      </c>
      <c r="L617">
        <v>0.0</v>
      </c>
      <c r="M617"/>
      <c r="N617"/>
      <c r="O617">
        <v>54.92</v>
      </c>
      <c r="P617">
        <v>0.0</v>
      </c>
      <c r="Q617">
        <v>360.0</v>
      </c>
      <c r="R617"/>
      <c r="S617"/>
      <c r="T617"/>
      <c r="U617"/>
      <c r="V617"/>
      <c r="W617">
        <v>18</v>
      </c>
    </row>
    <row r="618" spans="1:23">
      <c r="A618"/>
      <c r="B618" t="s">
        <v>71</v>
      </c>
      <c r="C618" t="s">
        <v>71</v>
      </c>
      <c r="D618" t="s">
        <v>37</v>
      </c>
      <c r="E618" t="s">
        <v>38</v>
      </c>
      <c r="F618" t="str">
        <f>"0000724"</f>
        <v>0000724</v>
      </c>
      <c r="G618">
        <v>1</v>
      </c>
      <c r="H618" t="str">
        <f>"00000000"</f>
        <v>00000000</v>
      </c>
      <c r="I618" t="s">
        <v>39</v>
      </c>
      <c r="J618"/>
      <c r="K618">
        <v>402.54</v>
      </c>
      <c r="L618">
        <v>0.0</v>
      </c>
      <c r="M618"/>
      <c r="N618"/>
      <c r="O618">
        <v>72.46</v>
      </c>
      <c r="P618">
        <v>0.0</v>
      </c>
      <c r="Q618">
        <v>475.0</v>
      </c>
      <c r="R618"/>
      <c r="S618"/>
      <c r="T618"/>
      <c r="U618"/>
      <c r="V618"/>
      <c r="W618">
        <v>18</v>
      </c>
    </row>
    <row r="619" spans="1:23">
      <c r="A619"/>
      <c r="B619" t="s">
        <v>71</v>
      </c>
      <c r="C619" t="s">
        <v>71</v>
      </c>
      <c r="D619" t="s">
        <v>37</v>
      </c>
      <c r="E619" t="s">
        <v>38</v>
      </c>
      <c r="F619" t="str">
        <f>"0000725"</f>
        <v>0000725</v>
      </c>
      <c r="G619">
        <v>1</v>
      </c>
      <c r="H619" t="str">
        <f>"00000000"</f>
        <v>00000000</v>
      </c>
      <c r="I619" t="s">
        <v>39</v>
      </c>
      <c r="J619"/>
      <c r="K619">
        <v>279.66</v>
      </c>
      <c r="L619">
        <v>0.0</v>
      </c>
      <c r="M619"/>
      <c r="N619"/>
      <c r="O619">
        <v>50.34</v>
      </c>
      <c r="P619">
        <v>0.0</v>
      </c>
      <c r="Q619">
        <v>330.0</v>
      </c>
      <c r="R619"/>
      <c r="S619"/>
      <c r="T619"/>
      <c r="U619"/>
      <c r="V619"/>
      <c r="W619">
        <v>18</v>
      </c>
    </row>
    <row r="620" spans="1:23">
      <c r="A620"/>
      <c r="B620" t="s">
        <v>71</v>
      </c>
      <c r="C620" t="s">
        <v>71</v>
      </c>
      <c r="D620" t="s">
        <v>37</v>
      </c>
      <c r="E620" t="s">
        <v>38</v>
      </c>
      <c r="F620" t="str">
        <f>"0000726"</f>
        <v>0000726</v>
      </c>
      <c r="G620">
        <v>1</v>
      </c>
      <c r="H620" t="str">
        <f>"00000000"</f>
        <v>00000000</v>
      </c>
      <c r="I620" t="s">
        <v>39</v>
      </c>
      <c r="J620"/>
      <c r="K620">
        <v>228.81</v>
      </c>
      <c r="L620">
        <v>0.0</v>
      </c>
      <c r="M620"/>
      <c r="N620"/>
      <c r="O620">
        <v>41.19</v>
      </c>
      <c r="P620">
        <v>0.0</v>
      </c>
      <c r="Q620">
        <v>270.0</v>
      </c>
      <c r="R620"/>
      <c r="S620"/>
      <c r="T620"/>
      <c r="U620"/>
      <c r="V620"/>
      <c r="W620">
        <v>18</v>
      </c>
    </row>
    <row r="621" spans="1:23">
      <c r="A621"/>
      <c r="B621" t="s">
        <v>71</v>
      </c>
      <c r="C621" t="s">
        <v>71</v>
      </c>
      <c r="D621" t="s">
        <v>37</v>
      </c>
      <c r="E621" t="s">
        <v>38</v>
      </c>
      <c r="F621" t="str">
        <f>"0000727"</f>
        <v>0000727</v>
      </c>
      <c r="G621">
        <v>1</v>
      </c>
      <c r="H621" t="str">
        <f>"00000000"</f>
        <v>00000000</v>
      </c>
      <c r="I621" t="s">
        <v>39</v>
      </c>
      <c r="J621"/>
      <c r="K621">
        <v>389.83</v>
      </c>
      <c r="L621">
        <v>0.0</v>
      </c>
      <c r="M621"/>
      <c r="N621"/>
      <c r="O621">
        <v>70.17</v>
      </c>
      <c r="P621">
        <v>0.0</v>
      </c>
      <c r="Q621">
        <v>460.0</v>
      </c>
      <c r="R621"/>
      <c r="S621"/>
      <c r="T621"/>
      <c r="U621"/>
      <c r="V621"/>
      <c r="W621">
        <v>18</v>
      </c>
    </row>
    <row r="622" spans="1:23">
      <c r="A622"/>
      <c r="B622" t="s">
        <v>71</v>
      </c>
      <c r="C622" t="s">
        <v>71</v>
      </c>
      <c r="D622" t="s">
        <v>37</v>
      </c>
      <c r="E622" t="s">
        <v>38</v>
      </c>
      <c r="F622" t="str">
        <f>"0000728"</f>
        <v>0000728</v>
      </c>
      <c r="G622">
        <v>1</v>
      </c>
      <c r="H622" t="str">
        <f>"00000000"</f>
        <v>00000000</v>
      </c>
      <c r="I622" t="s">
        <v>39</v>
      </c>
      <c r="J622"/>
      <c r="K622">
        <v>220.34</v>
      </c>
      <c r="L622">
        <v>0.0</v>
      </c>
      <c r="M622"/>
      <c r="N622"/>
      <c r="O622">
        <v>39.66</v>
      </c>
      <c r="P622">
        <v>0.0</v>
      </c>
      <c r="Q622">
        <v>260.0</v>
      </c>
      <c r="R622"/>
      <c r="S622"/>
      <c r="T622"/>
      <c r="U622"/>
      <c r="V622"/>
      <c r="W622">
        <v>18</v>
      </c>
    </row>
    <row r="623" spans="1:23">
      <c r="A623"/>
      <c r="B623" t="s">
        <v>71</v>
      </c>
      <c r="C623" t="s">
        <v>71</v>
      </c>
      <c r="D623" t="s">
        <v>37</v>
      </c>
      <c r="E623" t="s">
        <v>38</v>
      </c>
      <c r="F623" t="str">
        <f>"0000729"</f>
        <v>0000729</v>
      </c>
      <c r="G623">
        <v>1</v>
      </c>
      <c r="H623" t="str">
        <f>"00000000"</f>
        <v>00000000</v>
      </c>
      <c r="I623" t="s">
        <v>39</v>
      </c>
      <c r="J623"/>
      <c r="K623">
        <v>296.61</v>
      </c>
      <c r="L623">
        <v>0.0</v>
      </c>
      <c r="M623"/>
      <c r="N623"/>
      <c r="O623">
        <v>53.39</v>
      </c>
      <c r="P623">
        <v>0.0</v>
      </c>
      <c r="Q623">
        <v>350.0</v>
      </c>
      <c r="R623"/>
      <c r="S623"/>
      <c r="T623"/>
      <c r="U623"/>
      <c r="V623"/>
      <c r="W623">
        <v>18</v>
      </c>
    </row>
    <row r="624" spans="1:23">
      <c r="A624"/>
      <c r="B624" t="s">
        <v>71</v>
      </c>
      <c r="C624" t="s">
        <v>71</v>
      </c>
      <c r="D624" t="s">
        <v>37</v>
      </c>
      <c r="E624" t="s">
        <v>38</v>
      </c>
      <c r="F624" t="str">
        <f>"0000730"</f>
        <v>0000730</v>
      </c>
      <c r="G624">
        <v>1</v>
      </c>
      <c r="H624" t="str">
        <f>"00000000"</f>
        <v>00000000</v>
      </c>
      <c r="I624" t="s">
        <v>39</v>
      </c>
      <c r="J624"/>
      <c r="K624">
        <v>355.93</v>
      </c>
      <c r="L624">
        <v>0.0</v>
      </c>
      <c r="M624"/>
      <c r="N624"/>
      <c r="O624">
        <v>64.07</v>
      </c>
      <c r="P624">
        <v>0.0</v>
      </c>
      <c r="Q624">
        <v>420.0</v>
      </c>
      <c r="R624"/>
      <c r="S624"/>
      <c r="T624"/>
      <c r="U624"/>
      <c r="V624"/>
      <c r="W624">
        <v>18</v>
      </c>
    </row>
    <row r="625" spans="1:23">
      <c r="A625"/>
      <c r="B625" t="s">
        <v>71</v>
      </c>
      <c r="C625" t="s">
        <v>71</v>
      </c>
      <c r="D625" t="s">
        <v>37</v>
      </c>
      <c r="E625" t="s">
        <v>38</v>
      </c>
      <c r="F625" t="str">
        <f>"0000731"</f>
        <v>0000731</v>
      </c>
      <c r="G625">
        <v>1</v>
      </c>
      <c r="H625" t="str">
        <f>"00000000"</f>
        <v>00000000</v>
      </c>
      <c r="I625" t="s">
        <v>39</v>
      </c>
      <c r="J625"/>
      <c r="K625">
        <v>355.93</v>
      </c>
      <c r="L625">
        <v>0.0</v>
      </c>
      <c r="M625"/>
      <c r="N625"/>
      <c r="O625">
        <v>64.07</v>
      </c>
      <c r="P625">
        <v>0.0</v>
      </c>
      <c r="Q625">
        <v>420.0</v>
      </c>
      <c r="R625"/>
      <c r="S625"/>
      <c r="T625"/>
      <c r="U625"/>
      <c r="V625"/>
      <c r="W625">
        <v>18</v>
      </c>
    </row>
    <row r="626" spans="1:23">
      <c r="A626"/>
      <c r="B626" t="s">
        <v>71</v>
      </c>
      <c r="C626" t="s">
        <v>71</v>
      </c>
      <c r="D626" t="s">
        <v>37</v>
      </c>
      <c r="E626" t="s">
        <v>38</v>
      </c>
      <c r="F626" t="str">
        <f>"0000732"</f>
        <v>0000732</v>
      </c>
      <c r="G626">
        <v>1</v>
      </c>
      <c r="H626" t="str">
        <f>"00000000"</f>
        <v>00000000</v>
      </c>
      <c r="I626" t="s">
        <v>39</v>
      </c>
      <c r="J626"/>
      <c r="K626">
        <v>296.61</v>
      </c>
      <c r="L626">
        <v>0.0</v>
      </c>
      <c r="M626"/>
      <c r="N626"/>
      <c r="O626">
        <v>53.39</v>
      </c>
      <c r="P626">
        <v>0.0</v>
      </c>
      <c r="Q626">
        <v>350.0</v>
      </c>
      <c r="R626"/>
      <c r="S626"/>
      <c r="T626"/>
      <c r="U626"/>
      <c r="V626"/>
      <c r="W626">
        <v>18</v>
      </c>
    </row>
    <row r="627" spans="1:23">
      <c r="A627"/>
      <c r="B627" t="s">
        <v>71</v>
      </c>
      <c r="C627" t="s">
        <v>71</v>
      </c>
      <c r="D627" t="s">
        <v>37</v>
      </c>
      <c r="E627" t="s">
        <v>38</v>
      </c>
      <c r="F627" t="str">
        <f>"0000733"</f>
        <v>0000733</v>
      </c>
      <c r="G627">
        <v>1</v>
      </c>
      <c r="H627" t="str">
        <f>"00000000"</f>
        <v>00000000</v>
      </c>
      <c r="I627" t="s">
        <v>39</v>
      </c>
      <c r="J627"/>
      <c r="K627">
        <v>237.29</v>
      </c>
      <c r="L627">
        <v>0.0</v>
      </c>
      <c r="M627"/>
      <c r="N627"/>
      <c r="O627">
        <v>42.71</v>
      </c>
      <c r="P627">
        <v>0.0</v>
      </c>
      <c r="Q627">
        <v>280.0</v>
      </c>
      <c r="R627"/>
      <c r="S627"/>
      <c r="T627"/>
      <c r="U627"/>
      <c r="V627"/>
      <c r="W627">
        <v>18</v>
      </c>
    </row>
    <row r="628" spans="1:23">
      <c r="A628"/>
      <c r="B628" t="s">
        <v>71</v>
      </c>
      <c r="C628" t="s">
        <v>71</v>
      </c>
      <c r="D628" t="s">
        <v>37</v>
      </c>
      <c r="E628" t="s">
        <v>38</v>
      </c>
      <c r="F628" t="str">
        <f>"0000734"</f>
        <v>0000734</v>
      </c>
      <c r="G628">
        <v>1</v>
      </c>
      <c r="H628" t="str">
        <f>"00000000"</f>
        <v>00000000</v>
      </c>
      <c r="I628" t="s">
        <v>39</v>
      </c>
      <c r="J628"/>
      <c r="K628">
        <v>415.25</v>
      </c>
      <c r="L628">
        <v>0.0</v>
      </c>
      <c r="M628"/>
      <c r="N628"/>
      <c r="O628">
        <v>74.75</v>
      </c>
      <c r="P628">
        <v>0.0</v>
      </c>
      <c r="Q628">
        <v>490.0</v>
      </c>
      <c r="R628"/>
      <c r="S628"/>
      <c r="T628"/>
      <c r="U628"/>
      <c r="V628"/>
      <c r="W628">
        <v>18</v>
      </c>
    </row>
    <row r="629" spans="1:23">
      <c r="A629"/>
      <c r="B629" t="s">
        <v>71</v>
      </c>
      <c r="C629" t="s">
        <v>71</v>
      </c>
      <c r="D629" t="s">
        <v>37</v>
      </c>
      <c r="E629" t="s">
        <v>38</v>
      </c>
      <c r="F629" t="str">
        <f>"0000735"</f>
        <v>0000735</v>
      </c>
      <c r="G629">
        <v>1</v>
      </c>
      <c r="H629" t="str">
        <f>"00000000"</f>
        <v>00000000</v>
      </c>
      <c r="I629" t="s">
        <v>39</v>
      </c>
      <c r="J629"/>
      <c r="K629">
        <v>338.98</v>
      </c>
      <c r="L629">
        <v>0.0</v>
      </c>
      <c r="M629"/>
      <c r="N629"/>
      <c r="O629">
        <v>61.02</v>
      </c>
      <c r="P629">
        <v>0.0</v>
      </c>
      <c r="Q629">
        <v>400.0</v>
      </c>
      <c r="R629"/>
      <c r="S629"/>
      <c r="T629"/>
      <c r="U629"/>
      <c r="V629"/>
      <c r="W629">
        <v>18</v>
      </c>
    </row>
    <row r="630" spans="1:23">
      <c r="A630"/>
      <c r="B630" t="s">
        <v>74</v>
      </c>
      <c r="C630" t="s">
        <v>74</v>
      </c>
      <c r="D630" t="s">
        <v>37</v>
      </c>
      <c r="E630" t="s">
        <v>38</v>
      </c>
      <c r="F630" t="str">
        <f>"0000736"</f>
        <v>0000736</v>
      </c>
      <c r="G630">
        <v>1</v>
      </c>
      <c r="H630" t="str">
        <f>"00000000"</f>
        <v>00000000</v>
      </c>
      <c r="I630" t="s">
        <v>39</v>
      </c>
      <c r="J630"/>
      <c r="K630">
        <v>338.98</v>
      </c>
      <c r="L630">
        <v>0.0</v>
      </c>
      <c r="M630"/>
      <c r="N630"/>
      <c r="O630">
        <v>61.02</v>
      </c>
      <c r="P630">
        <v>0.0</v>
      </c>
      <c r="Q630">
        <v>400.0</v>
      </c>
      <c r="R630"/>
      <c r="S630"/>
      <c r="T630"/>
      <c r="U630"/>
      <c r="V630"/>
      <c r="W630">
        <v>18</v>
      </c>
    </row>
    <row r="631" spans="1:23">
      <c r="A631"/>
      <c r="B631" t="s">
        <v>74</v>
      </c>
      <c r="C631" t="s">
        <v>74</v>
      </c>
      <c r="D631" t="s">
        <v>37</v>
      </c>
      <c r="E631" t="s">
        <v>38</v>
      </c>
      <c r="F631" t="str">
        <f>"0000737"</f>
        <v>0000737</v>
      </c>
      <c r="G631">
        <v>1</v>
      </c>
      <c r="H631" t="str">
        <f>"00000000"</f>
        <v>00000000</v>
      </c>
      <c r="I631" t="s">
        <v>39</v>
      </c>
      <c r="J631"/>
      <c r="K631">
        <v>330.51</v>
      </c>
      <c r="L631">
        <v>0.0</v>
      </c>
      <c r="M631"/>
      <c r="N631"/>
      <c r="O631">
        <v>59.49</v>
      </c>
      <c r="P631">
        <v>0.0</v>
      </c>
      <c r="Q631">
        <v>390.0</v>
      </c>
      <c r="R631"/>
      <c r="S631"/>
      <c r="T631"/>
      <c r="U631"/>
      <c r="V631"/>
      <c r="W631">
        <v>18</v>
      </c>
    </row>
    <row r="632" spans="1:23">
      <c r="A632"/>
      <c r="B632" t="s">
        <v>74</v>
      </c>
      <c r="C632" t="s">
        <v>74</v>
      </c>
      <c r="D632" t="s">
        <v>37</v>
      </c>
      <c r="E632" t="s">
        <v>38</v>
      </c>
      <c r="F632" t="str">
        <f>"0000738"</f>
        <v>0000738</v>
      </c>
      <c r="G632">
        <v>1</v>
      </c>
      <c r="H632" t="str">
        <f>"00000000"</f>
        <v>00000000</v>
      </c>
      <c r="I632" t="s">
        <v>39</v>
      </c>
      <c r="J632"/>
      <c r="K632">
        <v>296.61</v>
      </c>
      <c r="L632">
        <v>0.0</v>
      </c>
      <c r="M632"/>
      <c r="N632"/>
      <c r="O632">
        <v>53.39</v>
      </c>
      <c r="P632">
        <v>0.0</v>
      </c>
      <c r="Q632">
        <v>350.0</v>
      </c>
      <c r="R632"/>
      <c r="S632"/>
      <c r="T632"/>
      <c r="U632"/>
      <c r="V632"/>
      <c r="W632">
        <v>18</v>
      </c>
    </row>
    <row r="633" spans="1:23">
      <c r="A633"/>
      <c r="B633" t="s">
        <v>74</v>
      </c>
      <c r="C633" t="s">
        <v>74</v>
      </c>
      <c r="D633" t="s">
        <v>37</v>
      </c>
      <c r="E633" t="s">
        <v>38</v>
      </c>
      <c r="F633" t="str">
        <f>"0000739"</f>
        <v>0000739</v>
      </c>
      <c r="G633">
        <v>1</v>
      </c>
      <c r="H633" t="str">
        <f>"00000000"</f>
        <v>00000000</v>
      </c>
      <c r="I633" t="s">
        <v>39</v>
      </c>
      <c r="J633"/>
      <c r="K633">
        <v>275.42</v>
      </c>
      <c r="L633">
        <v>0.0</v>
      </c>
      <c r="M633"/>
      <c r="N633"/>
      <c r="O633">
        <v>49.58</v>
      </c>
      <c r="P633">
        <v>0.0</v>
      </c>
      <c r="Q633">
        <v>325.0</v>
      </c>
      <c r="R633"/>
      <c r="S633"/>
      <c r="T633"/>
      <c r="U633"/>
      <c r="V633"/>
      <c r="W633">
        <v>18</v>
      </c>
    </row>
    <row r="634" spans="1:23">
      <c r="A634"/>
      <c r="B634" t="s">
        <v>74</v>
      </c>
      <c r="C634" t="s">
        <v>74</v>
      </c>
      <c r="D634" t="s">
        <v>37</v>
      </c>
      <c r="E634" t="s">
        <v>38</v>
      </c>
      <c r="F634" t="str">
        <f>"0000740"</f>
        <v>0000740</v>
      </c>
      <c r="G634">
        <v>1</v>
      </c>
      <c r="H634" t="str">
        <f>"00000000"</f>
        <v>00000000</v>
      </c>
      <c r="I634" t="s">
        <v>39</v>
      </c>
      <c r="J634"/>
      <c r="K634">
        <v>338.98</v>
      </c>
      <c r="L634">
        <v>0.0</v>
      </c>
      <c r="M634"/>
      <c r="N634"/>
      <c r="O634">
        <v>61.02</v>
      </c>
      <c r="P634">
        <v>0.0</v>
      </c>
      <c r="Q634">
        <v>400.0</v>
      </c>
      <c r="R634"/>
      <c r="S634"/>
      <c r="T634"/>
      <c r="U634"/>
      <c r="V634"/>
      <c r="W634">
        <v>18</v>
      </c>
    </row>
    <row r="635" spans="1:23">
      <c r="A635"/>
      <c r="B635" t="s">
        <v>74</v>
      </c>
      <c r="C635" t="s">
        <v>74</v>
      </c>
      <c r="D635" t="s">
        <v>37</v>
      </c>
      <c r="E635" t="s">
        <v>38</v>
      </c>
      <c r="F635" t="str">
        <f>"0000741"</f>
        <v>0000741</v>
      </c>
      <c r="G635">
        <v>1</v>
      </c>
      <c r="H635" t="str">
        <f>"00000000"</f>
        <v>00000000</v>
      </c>
      <c r="I635" t="s">
        <v>39</v>
      </c>
      <c r="J635"/>
      <c r="K635">
        <v>330.51</v>
      </c>
      <c r="L635">
        <v>0.0</v>
      </c>
      <c r="M635"/>
      <c r="N635"/>
      <c r="O635">
        <v>59.49</v>
      </c>
      <c r="P635">
        <v>0.0</v>
      </c>
      <c r="Q635">
        <v>390.0</v>
      </c>
      <c r="R635"/>
      <c r="S635"/>
      <c r="T635"/>
      <c r="U635"/>
      <c r="V635"/>
      <c r="W635">
        <v>18</v>
      </c>
    </row>
    <row r="636" spans="1:23">
      <c r="A636"/>
      <c r="B636" t="s">
        <v>74</v>
      </c>
      <c r="C636" t="s">
        <v>74</v>
      </c>
      <c r="D636" t="s">
        <v>37</v>
      </c>
      <c r="E636" t="s">
        <v>38</v>
      </c>
      <c r="F636" t="str">
        <f>"0000742"</f>
        <v>0000742</v>
      </c>
      <c r="G636">
        <v>1</v>
      </c>
      <c r="H636" t="str">
        <f>"00000000"</f>
        <v>00000000</v>
      </c>
      <c r="I636" t="s">
        <v>39</v>
      </c>
      <c r="J636"/>
      <c r="K636">
        <v>305.08</v>
      </c>
      <c r="L636">
        <v>0.0</v>
      </c>
      <c r="M636"/>
      <c r="N636"/>
      <c r="O636">
        <v>54.92</v>
      </c>
      <c r="P636">
        <v>0.0</v>
      </c>
      <c r="Q636">
        <v>360.0</v>
      </c>
      <c r="R636"/>
      <c r="S636"/>
      <c r="T636"/>
      <c r="U636"/>
      <c r="V636"/>
      <c r="W636">
        <v>18</v>
      </c>
    </row>
    <row r="637" spans="1:23">
      <c r="A637"/>
      <c r="B637" t="s">
        <v>74</v>
      </c>
      <c r="C637" t="s">
        <v>74</v>
      </c>
      <c r="D637" t="s">
        <v>37</v>
      </c>
      <c r="E637" t="s">
        <v>38</v>
      </c>
      <c r="F637" t="str">
        <f>"0000743"</f>
        <v>0000743</v>
      </c>
      <c r="G637">
        <v>1</v>
      </c>
      <c r="H637" t="str">
        <f>"00000000"</f>
        <v>00000000</v>
      </c>
      <c r="I637" t="s">
        <v>39</v>
      </c>
      <c r="J637"/>
      <c r="K637">
        <v>275.42</v>
      </c>
      <c r="L637">
        <v>0.0</v>
      </c>
      <c r="M637"/>
      <c r="N637"/>
      <c r="O637">
        <v>49.58</v>
      </c>
      <c r="P637">
        <v>0.0</v>
      </c>
      <c r="Q637">
        <v>325.0</v>
      </c>
      <c r="R637"/>
      <c r="S637"/>
      <c r="T637"/>
      <c r="U637"/>
      <c r="V637"/>
      <c r="W637">
        <v>18</v>
      </c>
    </row>
    <row r="638" spans="1:23">
      <c r="A638"/>
      <c r="B638" t="s">
        <v>74</v>
      </c>
      <c r="C638" t="s">
        <v>74</v>
      </c>
      <c r="D638" t="s">
        <v>37</v>
      </c>
      <c r="E638" t="s">
        <v>38</v>
      </c>
      <c r="F638" t="str">
        <f>"0000744"</f>
        <v>0000744</v>
      </c>
      <c r="G638">
        <v>1</v>
      </c>
      <c r="H638" t="str">
        <f>"00000000"</f>
        <v>00000000</v>
      </c>
      <c r="I638" t="s">
        <v>39</v>
      </c>
      <c r="J638"/>
      <c r="K638">
        <v>228.81</v>
      </c>
      <c r="L638">
        <v>0.0</v>
      </c>
      <c r="M638"/>
      <c r="N638"/>
      <c r="O638">
        <v>41.19</v>
      </c>
      <c r="P638">
        <v>0.0</v>
      </c>
      <c r="Q638">
        <v>270.0</v>
      </c>
      <c r="R638"/>
      <c r="S638"/>
      <c r="T638"/>
      <c r="U638"/>
      <c r="V638"/>
      <c r="W638">
        <v>18</v>
      </c>
    </row>
    <row r="639" spans="1:23">
      <c r="A639"/>
      <c r="B639" t="s">
        <v>74</v>
      </c>
      <c r="C639" t="s">
        <v>74</v>
      </c>
      <c r="D639" t="s">
        <v>37</v>
      </c>
      <c r="E639" t="s">
        <v>38</v>
      </c>
      <c r="F639" t="str">
        <f>"0000745"</f>
        <v>0000745</v>
      </c>
      <c r="G639">
        <v>1</v>
      </c>
      <c r="H639" t="str">
        <f>"00000000"</f>
        <v>00000000</v>
      </c>
      <c r="I639" t="s">
        <v>39</v>
      </c>
      <c r="J639"/>
      <c r="K639">
        <v>161.02</v>
      </c>
      <c r="L639">
        <v>0.0</v>
      </c>
      <c r="M639"/>
      <c r="N639"/>
      <c r="O639">
        <v>28.98</v>
      </c>
      <c r="P639">
        <v>0.0</v>
      </c>
      <c r="Q639">
        <v>190.0</v>
      </c>
      <c r="R639"/>
      <c r="S639"/>
      <c r="T639"/>
      <c r="U639"/>
      <c r="V639"/>
      <c r="W639">
        <v>18</v>
      </c>
    </row>
    <row r="640" spans="1:23">
      <c r="A640"/>
      <c r="B640" t="s">
        <v>74</v>
      </c>
      <c r="C640" t="s">
        <v>74</v>
      </c>
      <c r="D640" t="s">
        <v>37</v>
      </c>
      <c r="E640" t="s">
        <v>38</v>
      </c>
      <c r="F640" t="str">
        <f>"0000746"</f>
        <v>0000746</v>
      </c>
      <c r="G640">
        <v>1</v>
      </c>
      <c r="H640" t="str">
        <f>"00000000"</f>
        <v>00000000</v>
      </c>
      <c r="I640" t="s">
        <v>39</v>
      </c>
      <c r="J640"/>
      <c r="K640">
        <v>271.19</v>
      </c>
      <c r="L640">
        <v>0.0</v>
      </c>
      <c r="M640"/>
      <c r="N640"/>
      <c r="O640">
        <v>48.81</v>
      </c>
      <c r="P640">
        <v>0.0</v>
      </c>
      <c r="Q640">
        <v>320.0</v>
      </c>
      <c r="R640"/>
      <c r="S640"/>
      <c r="T640"/>
      <c r="U640"/>
      <c r="V640"/>
      <c r="W640">
        <v>18</v>
      </c>
    </row>
    <row r="641" spans="1:23">
      <c r="A641"/>
      <c r="B641" t="s">
        <v>74</v>
      </c>
      <c r="C641" t="s">
        <v>74</v>
      </c>
      <c r="D641" t="s">
        <v>37</v>
      </c>
      <c r="E641" t="s">
        <v>38</v>
      </c>
      <c r="F641" t="str">
        <f>"0000747"</f>
        <v>0000747</v>
      </c>
      <c r="G641">
        <v>1</v>
      </c>
      <c r="H641" t="str">
        <f>"00000000"</f>
        <v>00000000</v>
      </c>
      <c r="I641" t="s">
        <v>39</v>
      </c>
      <c r="J641"/>
      <c r="K641">
        <v>355.93</v>
      </c>
      <c r="L641">
        <v>0.0</v>
      </c>
      <c r="M641"/>
      <c r="N641"/>
      <c r="O641">
        <v>64.07</v>
      </c>
      <c r="P641">
        <v>0.0</v>
      </c>
      <c r="Q641">
        <v>420.0</v>
      </c>
      <c r="R641"/>
      <c r="S641"/>
      <c r="T641"/>
      <c r="U641"/>
      <c r="V641"/>
      <c r="W641">
        <v>18</v>
      </c>
    </row>
    <row r="642" spans="1:23">
      <c r="A642"/>
      <c r="B642" t="s">
        <v>74</v>
      </c>
      <c r="C642" t="s">
        <v>74</v>
      </c>
      <c r="D642" t="s">
        <v>37</v>
      </c>
      <c r="E642" t="s">
        <v>38</v>
      </c>
      <c r="F642" t="str">
        <f>"0000748"</f>
        <v>0000748</v>
      </c>
      <c r="G642">
        <v>1</v>
      </c>
      <c r="H642" t="str">
        <f>"00000000"</f>
        <v>00000000</v>
      </c>
      <c r="I642" t="s">
        <v>39</v>
      </c>
      <c r="J642"/>
      <c r="K642">
        <v>398.31</v>
      </c>
      <c r="L642">
        <v>0.0</v>
      </c>
      <c r="M642"/>
      <c r="N642"/>
      <c r="O642">
        <v>71.69</v>
      </c>
      <c r="P642">
        <v>0.0</v>
      </c>
      <c r="Q642">
        <v>470.0</v>
      </c>
      <c r="R642"/>
      <c r="S642"/>
      <c r="T642"/>
      <c r="U642"/>
      <c r="V642"/>
      <c r="W642">
        <v>18</v>
      </c>
    </row>
    <row r="643" spans="1:23">
      <c r="A643"/>
      <c r="B643" t="s">
        <v>74</v>
      </c>
      <c r="C643" t="s">
        <v>74</v>
      </c>
      <c r="D643" t="s">
        <v>37</v>
      </c>
      <c r="E643" t="s">
        <v>38</v>
      </c>
      <c r="F643" t="str">
        <f>"0000749"</f>
        <v>0000749</v>
      </c>
      <c r="G643">
        <v>1</v>
      </c>
      <c r="H643" t="str">
        <f>"00000000"</f>
        <v>00000000</v>
      </c>
      <c r="I643" t="s">
        <v>39</v>
      </c>
      <c r="J643"/>
      <c r="K643">
        <v>338.98</v>
      </c>
      <c r="L643">
        <v>0.0</v>
      </c>
      <c r="M643"/>
      <c r="N643"/>
      <c r="O643">
        <v>61.02</v>
      </c>
      <c r="P643">
        <v>0.0</v>
      </c>
      <c r="Q643">
        <v>400.0</v>
      </c>
      <c r="R643"/>
      <c r="S643"/>
      <c r="T643"/>
      <c r="U643"/>
      <c r="V643"/>
      <c r="W643">
        <v>18</v>
      </c>
    </row>
    <row r="644" spans="1:23">
      <c r="A644"/>
      <c r="B644" t="s">
        <v>74</v>
      </c>
      <c r="C644" t="s">
        <v>74</v>
      </c>
      <c r="D644" t="s">
        <v>37</v>
      </c>
      <c r="E644" t="s">
        <v>38</v>
      </c>
      <c r="F644" t="str">
        <f>"0000750"</f>
        <v>0000750</v>
      </c>
      <c r="G644">
        <v>1</v>
      </c>
      <c r="H644" t="str">
        <f>"00000000"</f>
        <v>00000000</v>
      </c>
      <c r="I644" t="s">
        <v>39</v>
      </c>
      <c r="J644"/>
      <c r="K644">
        <v>305.08</v>
      </c>
      <c r="L644">
        <v>0.0</v>
      </c>
      <c r="M644"/>
      <c r="N644"/>
      <c r="O644">
        <v>54.92</v>
      </c>
      <c r="P644">
        <v>0.0</v>
      </c>
      <c r="Q644">
        <v>360.0</v>
      </c>
      <c r="R644"/>
      <c r="S644"/>
      <c r="T644"/>
      <c r="U644"/>
      <c r="V644"/>
      <c r="W644">
        <v>18</v>
      </c>
    </row>
    <row r="645" spans="1:23">
      <c r="A645"/>
      <c r="B645" t="s">
        <v>74</v>
      </c>
      <c r="C645" t="s">
        <v>74</v>
      </c>
      <c r="D645" t="s">
        <v>37</v>
      </c>
      <c r="E645" t="s">
        <v>38</v>
      </c>
      <c r="F645" t="str">
        <f>"0000751"</f>
        <v>0000751</v>
      </c>
      <c r="G645">
        <v>1</v>
      </c>
      <c r="H645" t="str">
        <f>"00000000"</f>
        <v>00000000</v>
      </c>
      <c r="I645" t="s">
        <v>39</v>
      </c>
      <c r="J645"/>
      <c r="K645">
        <v>296.61</v>
      </c>
      <c r="L645">
        <v>0.0</v>
      </c>
      <c r="M645"/>
      <c r="N645"/>
      <c r="O645">
        <v>53.39</v>
      </c>
      <c r="P645">
        <v>0.0</v>
      </c>
      <c r="Q645">
        <v>350.0</v>
      </c>
      <c r="R645"/>
      <c r="S645"/>
      <c r="T645"/>
      <c r="U645"/>
      <c r="V645"/>
      <c r="W645">
        <v>18</v>
      </c>
    </row>
    <row r="646" spans="1:23">
      <c r="A646"/>
      <c r="B646" t="s">
        <v>74</v>
      </c>
      <c r="C646" t="s">
        <v>74</v>
      </c>
      <c r="D646" t="s">
        <v>37</v>
      </c>
      <c r="E646" t="s">
        <v>38</v>
      </c>
      <c r="F646" t="str">
        <f>"0000752"</f>
        <v>0000752</v>
      </c>
      <c r="G646">
        <v>1</v>
      </c>
      <c r="H646" t="str">
        <f>"00000000"</f>
        <v>00000000</v>
      </c>
      <c r="I646" t="s">
        <v>39</v>
      </c>
      <c r="J646"/>
      <c r="K646">
        <v>254.24</v>
      </c>
      <c r="L646">
        <v>0.0</v>
      </c>
      <c r="M646"/>
      <c r="N646"/>
      <c r="O646">
        <v>45.76</v>
      </c>
      <c r="P646">
        <v>0.0</v>
      </c>
      <c r="Q646">
        <v>300.0</v>
      </c>
      <c r="R646"/>
      <c r="S646"/>
      <c r="T646"/>
      <c r="U646"/>
      <c r="V646"/>
      <c r="W646">
        <v>18</v>
      </c>
    </row>
    <row r="647" spans="1:23">
      <c r="A647"/>
      <c r="B647" t="s">
        <v>74</v>
      </c>
      <c r="C647" t="s">
        <v>74</v>
      </c>
      <c r="D647" t="s">
        <v>37</v>
      </c>
      <c r="E647" t="s">
        <v>38</v>
      </c>
      <c r="F647" t="str">
        <f>"0000753"</f>
        <v>0000753</v>
      </c>
      <c r="G647">
        <v>1</v>
      </c>
      <c r="H647" t="str">
        <f>"00000000"</f>
        <v>00000000</v>
      </c>
      <c r="I647" t="s">
        <v>39</v>
      </c>
      <c r="J647"/>
      <c r="K647">
        <v>389.83</v>
      </c>
      <c r="L647">
        <v>0.0</v>
      </c>
      <c r="M647"/>
      <c r="N647"/>
      <c r="O647">
        <v>70.17</v>
      </c>
      <c r="P647">
        <v>0.0</v>
      </c>
      <c r="Q647">
        <v>460.0</v>
      </c>
      <c r="R647"/>
      <c r="S647"/>
      <c r="T647"/>
      <c r="U647"/>
      <c r="V647"/>
      <c r="W647">
        <v>18</v>
      </c>
    </row>
    <row r="648" spans="1:23">
      <c r="A648"/>
      <c r="B648" t="s">
        <v>74</v>
      </c>
      <c r="C648" t="s">
        <v>74</v>
      </c>
      <c r="D648" t="s">
        <v>37</v>
      </c>
      <c r="E648" t="s">
        <v>38</v>
      </c>
      <c r="F648" t="str">
        <f>"0000754"</f>
        <v>0000754</v>
      </c>
      <c r="G648">
        <v>1</v>
      </c>
      <c r="H648" t="str">
        <f>"00000000"</f>
        <v>00000000</v>
      </c>
      <c r="I648" t="s">
        <v>39</v>
      </c>
      <c r="J648"/>
      <c r="K648">
        <v>355.93</v>
      </c>
      <c r="L648">
        <v>0.0</v>
      </c>
      <c r="M648"/>
      <c r="N648"/>
      <c r="O648">
        <v>64.07</v>
      </c>
      <c r="P648">
        <v>0.0</v>
      </c>
      <c r="Q648">
        <v>420.0</v>
      </c>
      <c r="R648"/>
      <c r="S648"/>
      <c r="T648"/>
      <c r="U648"/>
      <c r="V648"/>
      <c r="W648">
        <v>18</v>
      </c>
    </row>
    <row r="649" spans="1:23">
      <c r="A649"/>
      <c r="B649" t="s">
        <v>74</v>
      </c>
      <c r="C649" t="s">
        <v>74</v>
      </c>
      <c r="D649" t="s">
        <v>37</v>
      </c>
      <c r="E649" t="s">
        <v>38</v>
      </c>
      <c r="F649" t="str">
        <f>"0000755"</f>
        <v>0000755</v>
      </c>
      <c r="G649">
        <v>1</v>
      </c>
      <c r="H649" t="str">
        <f>"00000000"</f>
        <v>00000000</v>
      </c>
      <c r="I649" t="s">
        <v>39</v>
      </c>
      <c r="J649"/>
      <c r="K649">
        <v>398.31</v>
      </c>
      <c r="L649">
        <v>0.0</v>
      </c>
      <c r="M649"/>
      <c r="N649"/>
      <c r="O649">
        <v>71.69</v>
      </c>
      <c r="P649">
        <v>0.0</v>
      </c>
      <c r="Q649">
        <v>470.0</v>
      </c>
      <c r="R649"/>
      <c r="S649"/>
      <c r="T649"/>
      <c r="U649"/>
      <c r="V649"/>
      <c r="W649">
        <v>18</v>
      </c>
    </row>
    <row r="650" spans="1:23">
      <c r="A650"/>
      <c r="B650" t="s">
        <v>74</v>
      </c>
      <c r="C650" t="s">
        <v>74</v>
      </c>
      <c r="D650" t="s">
        <v>37</v>
      </c>
      <c r="E650" t="s">
        <v>38</v>
      </c>
      <c r="F650" t="str">
        <f>"0000756"</f>
        <v>0000756</v>
      </c>
      <c r="G650">
        <v>1</v>
      </c>
      <c r="H650" t="str">
        <f>"00000000"</f>
        <v>00000000</v>
      </c>
      <c r="I650" t="s">
        <v>39</v>
      </c>
      <c r="J650"/>
      <c r="K650">
        <v>220.34</v>
      </c>
      <c r="L650">
        <v>0.0</v>
      </c>
      <c r="M650"/>
      <c r="N650"/>
      <c r="O650">
        <v>39.66</v>
      </c>
      <c r="P650">
        <v>0.0</v>
      </c>
      <c r="Q650">
        <v>260.0</v>
      </c>
      <c r="R650"/>
      <c r="S650"/>
      <c r="T650"/>
      <c r="U650"/>
      <c r="V650"/>
      <c r="W650">
        <v>18</v>
      </c>
    </row>
    <row r="651" spans="1:23">
      <c r="A651"/>
      <c r="B651" t="s">
        <v>74</v>
      </c>
      <c r="C651" t="s">
        <v>74</v>
      </c>
      <c r="D651" t="s">
        <v>37</v>
      </c>
      <c r="E651" t="s">
        <v>38</v>
      </c>
      <c r="F651" t="str">
        <f>"0000757"</f>
        <v>0000757</v>
      </c>
      <c r="G651">
        <v>1</v>
      </c>
      <c r="H651" t="str">
        <f>"00000000"</f>
        <v>00000000</v>
      </c>
      <c r="I651" t="s">
        <v>39</v>
      </c>
      <c r="J651"/>
      <c r="K651">
        <v>144.07</v>
      </c>
      <c r="L651">
        <v>0.0</v>
      </c>
      <c r="M651"/>
      <c r="N651"/>
      <c r="O651">
        <v>25.93</v>
      </c>
      <c r="P651">
        <v>0.0</v>
      </c>
      <c r="Q651">
        <v>170.0</v>
      </c>
      <c r="R651"/>
      <c r="S651"/>
      <c r="T651"/>
      <c r="U651"/>
      <c r="V651"/>
      <c r="W651">
        <v>18</v>
      </c>
    </row>
    <row r="652" spans="1:23">
      <c r="A652"/>
      <c r="B652" t="s">
        <v>74</v>
      </c>
      <c r="C652" t="s">
        <v>74</v>
      </c>
      <c r="D652" t="s">
        <v>37</v>
      </c>
      <c r="E652" t="s">
        <v>38</v>
      </c>
      <c r="F652" t="str">
        <f>"0000758"</f>
        <v>0000758</v>
      </c>
      <c r="G652">
        <v>1</v>
      </c>
      <c r="H652" t="str">
        <f>"00000000"</f>
        <v>00000000</v>
      </c>
      <c r="I652" t="s">
        <v>39</v>
      </c>
      <c r="J652"/>
      <c r="K652">
        <v>406.78</v>
      </c>
      <c r="L652">
        <v>0.0</v>
      </c>
      <c r="M652"/>
      <c r="N652"/>
      <c r="O652">
        <v>73.22</v>
      </c>
      <c r="P652">
        <v>0.0</v>
      </c>
      <c r="Q652">
        <v>480.0</v>
      </c>
      <c r="R652"/>
      <c r="S652"/>
      <c r="T652"/>
      <c r="U652"/>
      <c r="V652"/>
      <c r="W652">
        <v>18</v>
      </c>
    </row>
    <row r="653" spans="1:23">
      <c r="A653"/>
      <c r="B653" t="s">
        <v>74</v>
      </c>
      <c r="C653" t="s">
        <v>74</v>
      </c>
      <c r="D653" t="s">
        <v>37</v>
      </c>
      <c r="E653" t="s">
        <v>38</v>
      </c>
      <c r="F653" t="str">
        <f>"0000759"</f>
        <v>0000759</v>
      </c>
      <c r="G653">
        <v>1</v>
      </c>
      <c r="H653" t="str">
        <f>"00000000"</f>
        <v>00000000</v>
      </c>
      <c r="I653" t="s">
        <v>39</v>
      </c>
      <c r="J653"/>
      <c r="K653">
        <v>296.61</v>
      </c>
      <c r="L653">
        <v>0.0</v>
      </c>
      <c r="M653"/>
      <c r="N653"/>
      <c r="O653">
        <v>53.39</v>
      </c>
      <c r="P653">
        <v>0.0</v>
      </c>
      <c r="Q653">
        <v>350.0</v>
      </c>
      <c r="R653"/>
      <c r="S653"/>
      <c r="T653"/>
      <c r="U653"/>
      <c r="V653"/>
      <c r="W653">
        <v>18</v>
      </c>
    </row>
    <row r="654" spans="1:23">
      <c r="A654"/>
      <c r="B654" t="s">
        <v>74</v>
      </c>
      <c r="C654" t="s">
        <v>74</v>
      </c>
      <c r="D654" t="s">
        <v>37</v>
      </c>
      <c r="E654" t="s">
        <v>38</v>
      </c>
      <c r="F654" t="str">
        <f>"0000760"</f>
        <v>0000760</v>
      </c>
      <c r="G654">
        <v>1</v>
      </c>
      <c r="H654" t="str">
        <f>"00000000"</f>
        <v>00000000</v>
      </c>
      <c r="I654" t="s">
        <v>39</v>
      </c>
      <c r="J654"/>
      <c r="K654">
        <v>186.44</v>
      </c>
      <c r="L654">
        <v>0.0</v>
      </c>
      <c r="M654"/>
      <c r="N654"/>
      <c r="O654">
        <v>33.56</v>
      </c>
      <c r="P654">
        <v>0.0</v>
      </c>
      <c r="Q654">
        <v>220.0</v>
      </c>
      <c r="R654"/>
      <c r="S654"/>
      <c r="T654"/>
      <c r="U654"/>
      <c r="V654"/>
      <c r="W654">
        <v>18</v>
      </c>
    </row>
    <row r="655" spans="1:23">
      <c r="A655"/>
      <c r="B655" t="s">
        <v>74</v>
      </c>
      <c r="C655" t="s">
        <v>74</v>
      </c>
      <c r="D655" t="s">
        <v>37</v>
      </c>
      <c r="E655" t="s">
        <v>38</v>
      </c>
      <c r="F655" t="str">
        <f>"0000761"</f>
        <v>0000761</v>
      </c>
      <c r="G655">
        <v>1</v>
      </c>
      <c r="H655" t="str">
        <f>"00000000"</f>
        <v>00000000</v>
      </c>
      <c r="I655" t="s">
        <v>39</v>
      </c>
      <c r="J655"/>
      <c r="K655">
        <v>305.08</v>
      </c>
      <c r="L655">
        <v>0.0</v>
      </c>
      <c r="M655"/>
      <c r="N655"/>
      <c r="O655">
        <v>54.92</v>
      </c>
      <c r="P655">
        <v>0.0</v>
      </c>
      <c r="Q655">
        <v>360.0</v>
      </c>
      <c r="R655"/>
      <c r="S655"/>
      <c r="T655"/>
      <c r="U655"/>
      <c r="V655"/>
      <c r="W655">
        <v>18</v>
      </c>
    </row>
    <row r="656" spans="1:23">
      <c r="A656"/>
      <c r="B656" t="s">
        <v>74</v>
      </c>
      <c r="C656" t="s">
        <v>74</v>
      </c>
      <c r="D656" t="s">
        <v>37</v>
      </c>
      <c r="E656" t="s">
        <v>38</v>
      </c>
      <c r="F656" t="str">
        <f>"0000762"</f>
        <v>0000762</v>
      </c>
      <c r="G656">
        <v>1</v>
      </c>
      <c r="H656" t="str">
        <f>"00000000"</f>
        <v>00000000</v>
      </c>
      <c r="I656" t="s">
        <v>39</v>
      </c>
      <c r="J656"/>
      <c r="K656">
        <v>389.83</v>
      </c>
      <c r="L656">
        <v>0.0</v>
      </c>
      <c r="M656"/>
      <c r="N656"/>
      <c r="O656">
        <v>70.17</v>
      </c>
      <c r="P656">
        <v>0.0</v>
      </c>
      <c r="Q656">
        <v>460.0</v>
      </c>
      <c r="R656"/>
      <c r="S656"/>
      <c r="T656"/>
      <c r="U656"/>
      <c r="V656"/>
      <c r="W656">
        <v>18</v>
      </c>
    </row>
    <row r="657" spans="1:23">
      <c r="A657"/>
      <c r="B657" t="s">
        <v>74</v>
      </c>
      <c r="C657" t="s">
        <v>74</v>
      </c>
      <c r="D657" t="s">
        <v>37</v>
      </c>
      <c r="E657" t="s">
        <v>38</v>
      </c>
      <c r="F657" t="str">
        <f>"0000763"</f>
        <v>0000763</v>
      </c>
      <c r="G657">
        <v>1</v>
      </c>
      <c r="H657" t="str">
        <f>"00000000"</f>
        <v>00000000</v>
      </c>
      <c r="I657" t="s">
        <v>39</v>
      </c>
      <c r="J657"/>
      <c r="K657">
        <v>216.1</v>
      </c>
      <c r="L657">
        <v>0.0</v>
      </c>
      <c r="M657"/>
      <c r="N657"/>
      <c r="O657">
        <v>38.9</v>
      </c>
      <c r="P657">
        <v>0.0</v>
      </c>
      <c r="Q657">
        <v>255.0</v>
      </c>
      <c r="R657"/>
      <c r="S657"/>
      <c r="T657"/>
      <c r="U657"/>
      <c r="V657"/>
      <c r="W657">
        <v>18</v>
      </c>
    </row>
    <row r="658" spans="1:23">
      <c r="A658"/>
      <c r="B658" t="s">
        <v>74</v>
      </c>
      <c r="C658" t="s">
        <v>74</v>
      </c>
      <c r="D658" t="s">
        <v>37</v>
      </c>
      <c r="E658" t="s">
        <v>38</v>
      </c>
      <c r="F658" t="str">
        <f>"0000764"</f>
        <v>0000764</v>
      </c>
      <c r="G658">
        <v>1</v>
      </c>
      <c r="H658" t="str">
        <f>"00000000"</f>
        <v>00000000</v>
      </c>
      <c r="I658" t="s">
        <v>39</v>
      </c>
      <c r="J658"/>
      <c r="K658">
        <v>288.14</v>
      </c>
      <c r="L658">
        <v>0.0</v>
      </c>
      <c r="M658"/>
      <c r="N658"/>
      <c r="O658">
        <v>51.86</v>
      </c>
      <c r="P658">
        <v>0.0</v>
      </c>
      <c r="Q658">
        <v>340.0</v>
      </c>
      <c r="R658"/>
      <c r="S658"/>
      <c r="T658"/>
      <c r="U658"/>
      <c r="V658"/>
      <c r="W658">
        <v>18</v>
      </c>
    </row>
    <row r="659" spans="1:23">
      <c r="A659"/>
      <c r="B659" t="s">
        <v>74</v>
      </c>
      <c r="C659" t="s">
        <v>74</v>
      </c>
      <c r="D659" t="s">
        <v>37</v>
      </c>
      <c r="E659" t="s">
        <v>38</v>
      </c>
      <c r="F659" t="str">
        <f>"0000765"</f>
        <v>0000765</v>
      </c>
      <c r="G659">
        <v>1</v>
      </c>
      <c r="H659" t="str">
        <f>"00000000"</f>
        <v>00000000</v>
      </c>
      <c r="I659" t="s">
        <v>39</v>
      </c>
      <c r="J659"/>
      <c r="K659">
        <v>389.83</v>
      </c>
      <c r="L659">
        <v>0.0</v>
      </c>
      <c r="M659"/>
      <c r="N659"/>
      <c r="O659">
        <v>70.17</v>
      </c>
      <c r="P659">
        <v>0.0</v>
      </c>
      <c r="Q659">
        <v>460.0</v>
      </c>
      <c r="R659"/>
      <c r="S659"/>
      <c r="T659"/>
      <c r="U659"/>
      <c r="V659"/>
      <c r="W659">
        <v>18</v>
      </c>
    </row>
    <row r="660" spans="1:23">
      <c r="A660"/>
      <c r="B660" t="s">
        <v>74</v>
      </c>
      <c r="C660" t="s">
        <v>74</v>
      </c>
      <c r="D660" t="s">
        <v>37</v>
      </c>
      <c r="E660" t="s">
        <v>38</v>
      </c>
      <c r="F660" t="str">
        <f>"0000766"</f>
        <v>0000766</v>
      </c>
      <c r="G660">
        <v>1</v>
      </c>
      <c r="H660" t="str">
        <f>"00000000"</f>
        <v>00000000</v>
      </c>
      <c r="I660" t="s">
        <v>39</v>
      </c>
      <c r="J660"/>
      <c r="K660">
        <v>338.98</v>
      </c>
      <c r="L660">
        <v>0.0</v>
      </c>
      <c r="M660"/>
      <c r="N660"/>
      <c r="O660">
        <v>61.02</v>
      </c>
      <c r="P660">
        <v>0.0</v>
      </c>
      <c r="Q660">
        <v>400.0</v>
      </c>
      <c r="R660"/>
      <c r="S660"/>
      <c r="T660"/>
      <c r="U660"/>
      <c r="V660"/>
      <c r="W660">
        <v>18</v>
      </c>
    </row>
    <row r="661" spans="1:23">
      <c r="A661"/>
      <c r="B661" t="s">
        <v>74</v>
      </c>
      <c r="C661" t="s">
        <v>74</v>
      </c>
      <c r="D661" t="s">
        <v>37</v>
      </c>
      <c r="E661" t="s">
        <v>38</v>
      </c>
      <c r="F661" t="str">
        <f>"0000767"</f>
        <v>0000767</v>
      </c>
      <c r="G661">
        <v>1</v>
      </c>
      <c r="H661" t="str">
        <f>"00000000"</f>
        <v>00000000</v>
      </c>
      <c r="I661" t="s">
        <v>39</v>
      </c>
      <c r="J661"/>
      <c r="K661">
        <v>338.98</v>
      </c>
      <c r="L661">
        <v>0.0</v>
      </c>
      <c r="M661"/>
      <c r="N661"/>
      <c r="O661">
        <v>61.02</v>
      </c>
      <c r="P661">
        <v>0.0</v>
      </c>
      <c r="Q661">
        <v>400.0</v>
      </c>
      <c r="R661"/>
      <c r="S661"/>
      <c r="T661"/>
      <c r="U661"/>
      <c r="V661"/>
      <c r="W661">
        <v>18</v>
      </c>
    </row>
    <row r="662" spans="1:23">
      <c r="A662"/>
      <c r="B662" t="s">
        <v>74</v>
      </c>
      <c r="C662" t="s">
        <v>74</v>
      </c>
      <c r="D662" t="s">
        <v>37</v>
      </c>
      <c r="E662" t="s">
        <v>38</v>
      </c>
      <c r="F662" t="str">
        <f>"0000768"</f>
        <v>0000768</v>
      </c>
      <c r="G662">
        <v>1</v>
      </c>
      <c r="H662" t="str">
        <f>"00000000"</f>
        <v>00000000</v>
      </c>
      <c r="I662" t="s">
        <v>39</v>
      </c>
      <c r="J662"/>
      <c r="K662">
        <v>389.83</v>
      </c>
      <c r="L662">
        <v>0.0</v>
      </c>
      <c r="M662"/>
      <c r="N662"/>
      <c r="O662">
        <v>70.17</v>
      </c>
      <c r="P662">
        <v>0.0</v>
      </c>
      <c r="Q662">
        <v>460.0</v>
      </c>
      <c r="R662"/>
      <c r="S662"/>
      <c r="T662"/>
      <c r="U662"/>
      <c r="V662"/>
      <c r="W662">
        <v>18</v>
      </c>
    </row>
    <row r="663" spans="1:23">
      <c r="A663"/>
      <c r="B663" t="s">
        <v>74</v>
      </c>
      <c r="C663" t="s">
        <v>74</v>
      </c>
      <c r="D663" t="s">
        <v>37</v>
      </c>
      <c r="E663" t="s">
        <v>38</v>
      </c>
      <c r="F663" t="str">
        <f>"0000769"</f>
        <v>0000769</v>
      </c>
      <c r="G663">
        <v>1</v>
      </c>
      <c r="H663" t="str">
        <f>"00000000"</f>
        <v>00000000</v>
      </c>
      <c r="I663" t="s">
        <v>39</v>
      </c>
      <c r="J663"/>
      <c r="K663">
        <v>254.24</v>
      </c>
      <c r="L663">
        <v>0.0</v>
      </c>
      <c r="M663"/>
      <c r="N663"/>
      <c r="O663">
        <v>45.76</v>
      </c>
      <c r="P663">
        <v>0.0</v>
      </c>
      <c r="Q663">
        <v>300.0</v>
      </c>
      <c r="R663"/>
      <c r="S663"/>
      <c r="T663"/>
      <c r="U663"/>
      <c r="V663"/>
      <c r="W663">
        <v>18</v>
      </c>
    </row>
    <row r="664" spans="1:23">
      <c r="A664"/>
      <c r="B664" t="s">
        <v>74</v>
      </c>
      <c r="C664" t="s">
        <v>74</v>
      </c>
      <c r="D664" t="s">
        <v>37</v>
      </c>
      <c r="E664" t="s">
        <v>38</v>
      </c>
      <c r="F664" t="str">
        <f>"0000770"</f>
        <v>0000770</v>
      </c>
      <c r="G664">
        <v>1</v>
      </c>
      <c r="H664" t="str">
        <f>"00000000"</f>
        <v>00000000</v>
      </c>
      <c r="I664" t="s">
        <v>39</v>
      </c>
      <c r="J664"/>
      <c r="K664">
        <v>381.36</v>
      </c>
      <c r="L664">
        <v>0.0</v>
      </c>
      <c r="M664"/>
      <c r="N664"/>
      <c r="O664">
        <v>68.64</v>
      </c>
      <c r="P664">
        <v>0.0</v>
      </c>
      <c r="Q664">
        <v>450.0</v>
      </c>
      <c r="R664"/>
      <c r="S664"/>
      <c r="T664"/>
      <c r="U664"/>
      <c r="V664"/>
      <c r="W664">
        <v>18</v>
      </c>
    </row>
    <row r="665" spans="1:23">
      <c r="A665"/>
      <c r="B665" t="s">
        <v>74</v>
      </c>
      <c r="C665" t="s">
        <v>74</v>
      </c>
      <c r="D665" t="s">
        <v>37</v>
      </c>
      <c r="E665" t="s">
        <v>38</v>
      </c>
      <c r="F665" t="str">
        <f>"0000771"</f>
        <v>0000771</v>
      </c>
      <c r="G665">
        <v>1</v>
      </c>
      <c r="H665" t="str">
        <f>"00000000"</f>
        <v>00000000</v>
      </c>
      <c r="I665" t="s">
        <v>39</v>
      </c>
      <c r="J665"/>
      <c r="K665">
        <v>423.73</v>
      </c>
      <c r="L665">
        <v>0.0</v>
      </c>
      <c r="M665"/>
      <c r="N665"/>
      <c r="O665">
        <v>76.27</v>
      </c>
      <c r="P665">
        <v>0.0</v>
      </c>
      <c r="Q665">
        <v>500.0</v>
      </c>
      <c r="R665"/>
      <c r="S665"/>
      <c r="T665"/>
      <c r="U665"/>
      <c r="V665"/>
      <c r="W665">
        <v>18</v>
      </c>
    </row>
    <row r="666" spans="1:23">
      <c r="A666"/>
      <c r="B666" t="s">
        <v>74</v>
      </c>
      <c r="C666" t="s">
        <v>74</v>
      </c>
      <c r="D666" t="s">
        <v>37</v>
      </c>
      <c r="E666" t="s">
        <v>38</v>
      </c>
      <c r="F666" t="str">
        <f>"0000772"</f>
        <v>0000772</v>
      </c>
      <c r="G666">
        <v>1</v>
      </c>
      <c r="H666" t="str">
        <f>"00000000"</f>
        <v>00000000</v>
      </c>
      <c r="I666" t="s">
        <v>39</v>
      </c>
      <c r="J666"/>
      <c r="K666">
        <v>338.98</v>
      </c>
      <c r="L666">
        <v>0.0</v>
      </c>
      <c r="M666"/>
      <c r="N666"/>
      <c r="O666">
        <v>61.02</v>
      </c>
      <c r="P666">
        <v>0.0</v>
      </c>
      <c r="Q666">
        <v>400.0</v>
      </c>
      <c r="R666"/>
      <c r="S666"/>
      <c r="T666"/>
      <c r="U666"/>
      <c r="V666"/>
      <c r="W666">
        <v>18</v>
      </c>
    </row>
    <row r="667" spans="1:23">
      <c r="A667"/>
      <c r="B667" t="s">
        <v>74</v>
      </c>
      <c r="C667" t="s">
        <v>74</v>
      </c>
      <c r="D667" t="s">
        <v>37</v>
      </c>
      <c r="E667" t="s">
        <v>38</v>
      </c>
      <c r="F667" t="str">
        <f>"0000773"</f>
        <v>0000773</v>
      </c>
      <c r="G667">
        <v>1</v>
      </c>
      <c r="H667" t="str">
        <f>"00000000"</f>
        <v>00000000</v>
      </c>
      <c r="I667" t="s">
        <v>39</v>
      </c>
      <c r="J667"/>
      <c r="K667">
        <v>211.86</v>
      </c>
      <c r="L667">
        <v>0.0</v>
      </c>
      <c r="M667"/>
      <c r="N667"/>
      <c r="O667">
        <v>38.14</v>
      </c>
      <c r="P667">
        <v>0.0</v>
      </c>
      <c r="Q667">
        <v>250.0</v>
      </c>
      <c r="R667"/>
      <c r="S667"/>
      <c r="T667"/>
      <c r="U667"/>
      <c r="V667"/>
      <c r="W667">
        <v>18</v>
      </c>
    </row>
    <row r="668" spans="1:23">
      <c r="A668"/>
      <c r="B668" t="s">
        <v>74</v>
      </c>
      <c r="C668" t="s">
        <v>74</v>
      </c>
      <c r="D668" t="s">
        <v>37</v>
      </c>
      <c r="E668" t="s">
        <v>38</v>
      </c>
      <c r="F668" t="str">
        <f>"0000774"</f>
        <v>0000774</v>
      </c>
      <c r="G668">
        <v>1</v>
      </c>
      <c r="H668" t="str">
        <f>"00000000"</f>
        <v>00000000</v>
      </c>
      <c r="I668" t="s">
        <v>39</v>
      </c>
      <c r="J668"/>
      <c r="K668">
        <v>296.61</v>
      </c>
      <c r="L668">
        <v>0.0</v>
      </c>
      <c r="M668"/>
      <c r="N668"/>
      <c r="O668">
        <v>53.39</v>
      </c>
      <c r="P668">
        <v>0.0</v>
      </c>
      <c r="Q668">
        <v>350.0</v>
      </c>
      <c r="R668"/>
      <c r="S668"/>
      <c r="T668"/>
      <c r="U668"/>
      <c r="V668"/>
      <c r="W668">
        <v>18</v>
      </c>
    </row>
    <row r="669" spans="1:23">
      <c r="A669"/>
      <c r="B669" t="s">
        <v>74</v>
      </c>
      <c r="C669" t="s">
        <v>74</v>
      </c>
      <c r="D669" t="s">
        <v>37</v>
      </c>
      <c r="E669" t="s">
        <v>38</v>
      </c>
      <c r="F669" t="str">
        <f>"0000775"</f>
        <v>0000775</v>
      </c>
      <c r="G669">
        <v>1</v>
      </c>
      <c r="H669" t="str">
        <f>"00000000"</f>
        <v>00000000</v>
      </c>
      <c r="I669" t="s">
        <v>39</v>
      </c>
      <c r="J669"/>
      <c r="K669">
        <v>296.61</v>
      </c>
      <c r="L669">
        <v>0.0</v>
      </c>
      <c r="M669"/>
      <c r="N669"/>
      <c r="O669">
        <v>53.39</v>
      </c>
      <c r="P669">
        <v>0.0</v>
      </c>
      <c r="Q669">
        <v>350.0</v>
      </c>
      <c r="R669"/>
      <c r="S669"/>
      <c r="T669"/>
      <c r="U669"/>
      <c r="V669"/>
      <c r="W669">
        <v>18</v>
      </c>
    </row>
    <row r="670" spans="1:23">
      <c r="A670"/>
      <c r="B670" t="s">
        <v>74</v>
      </c>
      <c r="C670" t="s">
        <v>74</v>
      </c>
      <c r="D670" t="s">
        <v>37</v>
      </c>
      <c r="E670" t="s">
        <v>38</v>
      </c>
      <c r="F670" t="str">
        <f>"0000776"</f>
        <v>0000776</v>
      </c>
      <c r="G670">
        <v>1</v>
      </c>
      <c r="H670" t="str">
        <f>"00000000"</f>
        <v>00000000</v>
      </c>
      <c r="I670" t="s">
        <v>39</v>
      </c>
      <c r="J670"/>
      <c r="K670">
        <v>423.73</v>
      </c>
      <c r="L670">
        <v>0.0</v>
      </c>
      <c r="M670"/>
      <c r="N670"/>
      <c r="O670">
        <v>76.27</v>
      </c>
      <c r="P670">
        <v>0.0</v>
      </c>
      <c r="Q670">
        <v>500.0</v>
      </c>
      <c r="R670"/>
      <c r="S670"/>
      <c r="T670"/>
      <c r="U670"/>
      <c r="V670"/>
      <c r="W670">
        <v>18</v>
      </c>
    </row>
    <row r="671" spans="1:23">
      <c r="A671"/>
      <c r="B671" t="s">
        <v>74</v>
      </c>
      <c r="C671" t="s">
        <v>74</v>
      </c>
      <c r="D671" t="s">
        <v>37</v>
      </c>
      <c r="E671" t="s">
        <v>38</v>
      </c>
      <c r="F671" t="str">
        <f>"0000777"</f>
        <v>0000777</v>
      </c>
      <c r="G671">
        <v>1</v>
      </c>
      <c r="H671" t="str">
        <f>"00000000"</f>
        <v>00000000</v>
      </c>
      <c r="I671" t="s">
        <v>39</v>
      </c>
      <c r="J671"/>
      <c r="K671">
        <v>381.36</v>
      </c>
      <c r="L671">
        <v>0.0</v>
      </c>
      <c r="M671"/>
      <c r="N671"/>
      <c r="O671">
        <v>68.64</v>
      </c>
      <c r="P671">
        <v>0.0</v>
      </c>
      <c r="Q671">
        <v>450.0</v>
      </c>
      <c r="R671"/>
      <c r="S671"/>
      <c r="T671"/>
      <c r="U671"/>
      <c r="V671"/>
      <c r="W671">
        <v>18</v>
      </c>
    </row>
    <row r="672" spans="1:23">
      <c r="A672"/>
      <c r="B672" t="s">
        <v>74</v>
      </c>
      <c r="C672" t="s">
        <v>74</v>
      </c>
      <c r="D672" t="s">
        <v>37</v>
      </c>
      <c r="E672" t="s">
        <v>38</v>
      </c>
      <c r="F672" t="str">
        <f>"0000778"</f>
        <v>0000778</v>
      </c>
      <c r="G672">
        <v>1</v>
      </c>
      <c r="H672" t="str">
        <f>"00000000"</f>
        <v>00000000</v>
      </c>
      <c r="I672" t="s">
        <v>39</v>
      </c>
      <c r="J672"/>
      <c r="K672">
        <v>296.61</v>
      </c>
      <c r="L672">
        <v>0.0</v>
      </c>
      <c r="M672"/>
      <c r="N672"/>
      <c r="O672">
        <v>53.39</v>
      </c>
      <c r="P672">
        <v>0.0</v>
      </c>
      <c r="Q672">
        <v>350.0</v>
      </c>
      <c r="R672"/>
      <c r="S672"/>
      <c r="T672"/>
      <c r="U672"/>
      <c r="V672"/>
      <c r="W672">
        <v>18</v>
      </c>
    </row>
    <row r="673" spans="1:23">
      <c r="A673"/>
      <c r="B673" t="s">
        <v>75</v>
      </c>
      <c r="C673" t="s">
        <v>75</v>
      </c>
      <c r="D673" t="s">
        <v>37</v>
      </c>
      <c r="E673" t="s">
        <v>38</v>
      </c>
      <c r="F673" t="str">
        <f>"0000779"</f>
        <v>0000779</v>
      </c>
      <c r="G673">
        <v>1</v>
      </c>
      <c r="H673" t="str">
        <f>"00000000"</f>
        <v>00000000</v>
      </c>
      <c r="I673" t="s">
        <v>39</v>
      </c>
      <c r="J673"/>
      <c r="K673">
        <v>254.24</v>
      </c>
      <c r="L673">
        <v>0.0</v>
      </c>
      <c r="M673"/>
      <c r="N673"/>
      <c r="O673">
        <v>45.76</v>
      </c>
      <c r="P673">
        <v>0.0</v>
      </c>
      <c r="Q673">
        <v>300.0</v>
      </c>
      <c r="R673"/>
      <c r="S673"/>
      <c r="T673"/>
      <c r="U673"/>
      <c r="V673"/>
      <c r="W673">
        <v>18</v>
      </c>
    </row>
    <row r="674" spans="1:23">
      <c r="A674"/>
      <c r="B674" t="s">
        <v>75</v>
      </c>
      <c r="C674" t="s">
        <v>75</v>
      </c>
      <c r="D674" t="s">
        <v>37</v>
      </c>
      <c r="E674" t="s">
        <v>38</v>
      </c>
      <c r="F674" t="str">
        <f>"0000780"</f>
        <v>0000780</v>
      </c>
      <c r="G674">
        <v>1</v>
      </c>
      <c r="H674" t="str">
        <f>"00000000"</f>
        <v>00000000</v>
      </c>
      <c r="I674" t="s">
        <v>39</v>
      </c>
      <c r="J674"/>
      <c r="K674">
        <v>279.66</v>
      </c>
      <c r="L674">
        <v>0.0</v>
      </c>
      <c r="M674"/>
      <c r="N674"/>
      <c r="O674">
        <v>50.34</v>
      </c>
      <c r="P674">
        <v>0.0</v>
      </c>
      <c r="Q674">
        <v>330.0</v>
      </c>
      <c r="R674"/>
      <c r="S674"/>
      <c r="T674"/>
      <c r="U674"/>
      <c r="V674"/>
      <c r="W674">
        <v>18</v>
      </c>
    </row>
    <row r="675" spans="1:23">
      <c r="A675"/>
      <c r="B675" t="s">
        <v>75</v>
      </c>
      <c r="C675" t="s">
        <v>75</v>
      </c>
      <c r="D675" t="s">
        <v>37</v>
      </c>
      <c r="E675" t="s">
        <v>38</v>
      </c>
      <c r="F675" t="str">
        <f>"0000781"</f>
        <v>0000781</v>
      </c>
      <c r="G675">
        <v>1</v>
      </c>
      <c r="H675" t="str">
        <f>"00000000"</f>
        <v>00000000</v>
      </c>
      <c r="I675" t="s">
        <v>39</v>
      </c>
      <c r="J675"/>
      <c r="K675">
        <v>372.88</v>
      </c>
      <c r="L675">
        <v>0.0</v>
      </c>
      <c r="M675"/>
      <c r="N675"/>
      <c r="O675">
        <v>67.12</v>
      </c>
      <c r="P675">
        <v>0.0</v>
      </c>
      <c r="Q675">
        <v>440.0</v>
      </c>
      <c r="R675"/>
      <c r="S675"/>
      <c r="T675"/>
      <c r="U675"/>
      <c r="V675"/>
      <c r="W675">
        <v>18</v>
      </c>
    </row>
    <row r="676" spans="1:23">
      <c r="A676"/>
      <c r="B676" t="s">
        <v>75</v>
      </c>
      <c r="C676" t="s">
        <v>75</v>
      </c>
      <c r="D676" t="s">
        <v>37</v>
      </c>
      <c r="E676" t="s">
        <v>38</v>
      </c>
      <c r="F676" t="str">
        <f>"0000782"</f>
        <v>0000782</v>
      </c>
      <c r="G676">
        <v>1</v>
      </c>
      <c r="H676" t="str">
        <f>"00000000"</f>
        <v>00000000</v>
      </c>
      <c r="I676" t="s">
        <v>39</v>
      </c>
      <c r="J676"/>
      <c r="K676">
        <v>338.98</v>
      </c>
      <c r="L676">
        <v>0.0</v>
      </c>
      <c r="M676"/>
      <c r="N676"/>
      <c r="O676">
        <v>61.02</v>
      </c>
      <c r="P676">
        <v>0.0</v>
      </c>
      <c r="Q676">
        <v>400.0</v>
      </c>
      <c r="R676"/>
      <c r="S676"/>
      <c r="T676"/>
      <c r="U676"/>
      <c r="V676"/>
      <c r="W676">
        <v>18</v>
      </c>
    </row>
    <row r="677" spans="1:23">
      <c r="A677"/>
      <c r="B677" t="s">
        <v>75</v>
      </c>
      <c r="C677" t="s">
        <v>75</v>
      </c>
      <c r="D677" t="s">
        <v>37</v>
      </c>
      <c r="E677" t="s">
        <v>38</v>
      </c>
      <c r="F677" t="str">
        <f>"0000783"</f>
        <v>0000783</v>
      </c>
      <c r="G677">
        <v>1</v>
      </c>
      <c r="H677" t="str">
        <f>"00000000"</f>
        <v>00000000</v>
      </c>
      <c r="I677" t="s">
        <v>39</v>
      </c>
      <c r="J677"/>
      <c r="K677">
        <v>220.34</v>
      </c>
      <c r="L677">
        <v>0.0</v>
      </c>
      <c r="M677"/>
      <c r="N677"/>
      <c r="O677">
        <v>39.66</v>
      </c>
      <c r="P677">
        <v>0.0</v>
      </c>
      <c r="Q677">
        <v>260.0</v>
      </c>
      <c r="R677"/>
      <c r="S677"/>
      <c r="T677"/>
      <c r="U677"/>
      <c r="V677"/>
      <c r="W677">
        <v>18</v>
      </c>
    </row>
    <row r="678" spans="1:23">
      <c r="A678"/>
      <c r="B678" t="s">
        <v>75</v>
      </c>
      <c r="C678" t="s">
        <v>75</v>
      </c>
      <c r="D678" t="s">
        <v>37</v>
      </c>
      <c r="E678" t="s">
        <v>38</v>
      </c>
      <c r="F678" t="str">
        <f>"0000784"</f>
        <v>0000784</v>
      </c>
      <c r="G678">
        <v>1</v>
      </c>
      <c r="H678" t="str">
        <f>"00000000"</f>
        <v>00000000</v>
      </c>
      <c r="I678" t="s">
        <v>39</v>
      </c>
      <c r="J678"/>
      <c r="K678">
        <v>245.76</v>
      </c>
      <c r="L678">
        <v>0.0</v>
      </c>
      <c r="M678"/>
      <c r="N678"/>
      <c r="O678">
        <v>44.24</v>
      </c>
      <c r="P678">
        <v>0.0</v>
      </c>
      <c r="Q678">
        <v>290.0</v>
      </c>
      <c r="R678"/>
      <c r="S678"/>
      <c r="T678"/>
      <c r="U678"/>
      <c r="V678"/>
      <c r="W678">
        <v>18</v>
      </c>
    </row>
    <row r="679" spans="1:23">
      <c r="A679"/>
      <c r="B679" t="s">
        <v>75</v>
      </c>
      <c r="C679" t="s">
        <v>75</v>
      </c>
      <c r="D679" t="s">
        <v>37</v>
      </c>
      <c r="E679" t="s">
        <v>38</v>
      </c>
      <c r="F679" t="str">
        <f>"0000785"</f>
        <v>0000785</v>
      </c>
      <c r="G679">
        <v>1</v>
      </c>
      <c r="H679" t="str">
        <f>"00000000"</f>
        <v>00000000</v>
      </c>
      <c r="I679" t="s">
        <v>39</v>
      </c>
      <c r="J679"/>
      <c r="K679">
        <v>254.24</v>
      </c>
      <c r="L679">
        <v>0.0</v>
      </c>
      <c r="M679"/>
      <c r="N679"/>
      <c r="O679">
        <v>45.76</v>
      </c>
      <c r="P679">
        <v>0.0</v>
      </c>
      <c r="Q679">
        <v>300.0</v>
      </c>
      <c r="R679"/>
      <c r="S679"/>
      <c r="T679"/>
      <c r="U679"/>
      <c r="V679"/>
      <c r="W679">
        <v>18</v>
      </c>
    </row>
    <row r="680" spans="1:23">
      <c r="A680"/>
      <c r="B680" t="s">
        <v>75</v>
      </c>
      <c r="C680" t="s">
        <v>75</v>
      </c>
      <c r="D680" t="s">
        <v>37</v>
      </c>
      <c r="E680" t="s">
        <v>38</v>
      </c>
      <c r="F680" t="str">
        <f>"0000786"</f>
        <v>0000786</v>
      </c>
      <c r="G680">
        <v>1</v>
      </c>
      <c r="H680" t="str">
        <f>"00000000"</f>
        <v>00000000</v>
      </c>
      <c r="I680" t="s">
        <v>39</v>
      </c>
      <c r="J680"/>
      <c r="K680">
        <v>279.66</v>
      </c>
      <c r="L680">
        <v>0.0</v>
      </c>
      <c r="M680"/>
      <c r="N680"/>
      <c r="O680">
        <v>50.34</v>
      </c>
      <c r="P680">
        <v>0.0</v>
      </c>
      <c r="Q680">
        <v>330.0</v>
      </c>
      <c r="R680"/>
      <c r="S680"/>
      <c r="T680"/>
      <c r="U680"/>
      <c r="V680"/>
      <c r="W680">
        <v>18</v>
      </c>
    </row>
    <row r="681" spans="1:23">
      <c r="A681"/>
      <c r="B681" t="s">
        <v>75</v>
      </c>
      <c r="C681" t="s">
        <v>75</v>
      </c>
      <c r="D681" t="s">
        <v>37</v>
      </c>
      <c r="E681" t="s">
        <v>38</v>
      </c>
      <c r="F681" t="str">
        <f>"0000787"</f>
        <v>0000787</v>
      </c>
      <c r="G681">
        <v>1</v>
      </c>
      <c r="H681" t="str">
        <f>"00000000"</f>
        <v>00000000</v>
      </c>
      <c r="I681" t="s">
        <v>39</v>
      </c>
      <c r="J681"/>
      <c r="K681">
        <v>317.8</v>
      </c>
      <c r="L681">
        <v>0.0</v>
      </c>
      <c r="M681"/>
      <c r="N681"/>
      <c r="O681">
        <v>57.2</v>
      </c>
      <c r="P681">
        <v>0.0</v>
      </c>
      <c r="Q681">
        <v>375.0</v>
      </c>
      <c r="R681"/>
      <c r="S681"/>
      <c r="T681"/>
      <c r="U681"/>
      <c r="V681"/>
      <c r="W681">
        <v>18</v>
      </c>
    </row>
    <row r="682" spans="1:23">
      <c r="A682"/>
      <c r="B682" t="s">
        <v>75</v>
      </c>
      <c r="C682" t="s">
        <v>75</v>
      </c>
      <c r="D682" t="s">
        <v>37</v>
      </c>
      <c r="E682" t="s">
        <v>38</v>
      </c>
      <c r="F682" t="str">
        <f>"0000788"</f>
        <v>0000788</v>
      </c>
      <c r="G682">
        <v>1</v>
      </c>
      <c r="H682" t="str">
        <f>"00000000"</f>
        <v>00000000</v>
      </c>
      <c r="I682" t="s">
        <v>39</v>
      </c>
      <c r="J682"/>
      <c r="K682">
        <v>338.98</v>
      </c>
      <c r="L682">
        <v>0.0</v>
      </c>
      <c r="M682"/>
      <c r="N682"/>
      <c r="O682">
        <v>61.02</v>
      </c>
      <c r="P682">
        <v>0.0</v>
      </c>
      <c r="Q682">
        <v>400.0</v>
      </c>
      <c r="R682"/>
      <c r="S682"/>
      <c r="T682"/>
      <c r="U682"/>
      <c r="V682"/>
      <c r="W682">
        <v>18</v>
      </c>
    </row>
    <row r="683" spans="1:23">
      <c r="A683"/>
      <c r="B683" t="s">
        <v>75</v>
      </c>
      <c r="C683" t="s">
        <v>75</v>
      </c>
      <c r="D683" t="s">
        <v>37</v>
      </c>
      <c r="E683" t="s">
        <v>38</v>
      </c>
      <c r="F683" t="str">
        <f>"0000789"</f>
        <v>0000789</v>
      </c>
      <c r="G683">
        <v>1</v>
      </c>
      <c r="H683" t="str">
        <f>"00000000"</f>
        <v>00000000</v>
      </c>
      <c r="I683" t="s">
        <v>39</v>
      </c>
      <c r="J683"/>
      <c r="K683">
        <v>381.36</v>
      </c>
      <c r="L683">
        <v>0.0</v>
      </c>
      <c r="M683"/>
      <c r="N683"/>
      <c r="O683">
        <v>68.64</v>
      </c>
      <c r="P683">
        <v>0.0</v>
      </c>
      <c r="Q683">
        <v>450.0</v>
      </c>
      <c r="R683"/>
      <c r="S683"/>
      <c r="T683"/>
      <c r="U683"/>
      <c r="V683"/>
      <c r="W683">
        <v>18</v>
      </c>
    </row>
    <row r="684" spans="1:23">
      <c r="A684"/>
      <c r="B684" t="s">
        <v>75</v>
      </c>
      <c r="C684" t="s">
        <v>75</v>
      </c>
      <c r="D684" t="s">
        <v>37</v>
      </c>
      <c r="E684" t="s">
        <v>38</v>
      </c>
      <c r="F684" t="str">
        <f>"0000790"</f>
        <v>0000790</v>
      </c>
      <c r="G684">
        <v>1</v>
      </c>
      <c r="H684" t="str">
        <f>"00000000"</f>
        <v>00000000</v>
      </c>
      <c r="I684" t="s">
        <v>39</v>
      </c>
      <c r="J684"/>
      <c r="K684">
        <v>338.98</v>
      </c>
      <c r="L684">
        <v>0.0</v>
      </c>
      <c r="M684"/>
      <c r="N684"/>
      <c r="O684">
        <v>61.02</v>
      </c>
      <c r="P684">
        <v>0.0</v>
      </c>
      <c r="Q684">
        <v>400.0</v>
      </c>
      <c r="R684"/>
      <c r="S684"/>
      <c r="T684"/>
      <c r="U684"/>
      <c r="V684"/>
      <c r="W684">
        <v>18</v>
      </c>
    </row>
    <row r="685" spans="1:23">
      <c r="A685"/>
      <c r="B685" t="s">
        <v>75</v>
      </c>
      <c r="C685" t="s">
        <v>75</v>
      </c>
      <c r="D685" t="s">
        <v>37</v>
      </c>
      <c r="E685" t="s">
        <v>38</v>
      </c>
      <c r="F685" t="str">
        <f>"0000791"</f>
        <v>0000791</v>
      </c>
      <c r="G685">
        <v>1</v>
      </c>
      <c r="H685" t="str">
        <f>"00000000"</f>
        <v>00000000</v>
      </c>
      <c r="I685" t="s">
        <v>39</v>
      </c>
      <c r="J685"/>
      <c r="K685">
        <v>372.88</v>
      </c>
      <c r="L685">
        <v>0.0</v>
      </c>
      <c r="M685"/>
      <c r="N685"/>
      <c r="O685">
        <v>67.12</v>
      </c>
      <c r="P685">
        <v>0.0</v>
      </c>
      <c r="Q685">
        <v>440.0</v>
      </c>
      <c r="R685"/>
      <c r="S685"/>
      <c r="T685"/>
      <c r="U685"/>
      <c r="V685"/>
      <c r="W685">
        <v>18</v>
      </c>
    </row>
    <row r="686" spans="1:23">
      <c r="A686"/>
      <c r="B686" t="s">
        <v>75</v>
      </c>
      <c r="C686" t="s">
        <v>75</v>
      </c>
      <c r="D686" t="s">
        <v>37</v>
      </c>
      <c r="E686" t="s">
        <v>38</v>
      </c>
      <c r="F686" t="str">
        <f>"0000792"</f>
        <v>0000792</v>
      </c>
      <c r="G686">
        <v>1</v>
      </c>
      <c r="H686" t="str">
        <f>"00000000"</f>
        <v>00000000</v>
      </c>
      <c r="I686" t="s">
        <v>39</v>
      </c>
      <c r="J686"/>
      <c r="K686">
        <v>296.61</v>
      </c>
      <c r="L686">
        <v>0.0</v>
      </c>
      <c r="M686"/>
      <c r="N686"/>
      <c r="O686">
        <v>53.39</v>
      </c>
      <c r="P686">
        <v>0.0</v>
      </c>
      <c r="Q686">
        <v>350.0</v>
      </c>
      <c r="R686"/>
      <c r="S686"/>
      <c r="T686"/>
      <c r="U686"/>
      <c r="V686"/>
      <c r="W686">
        <v>18</v>
      </c>
    </row>
    <row r="687" spans="1:23">
      <c r="A687"/>
      <c r="B687" t="s">
        <v>75</v>
      </c>
      <c r="C687" t="s">
        <v>75</v>
      </c>
      <c r="D687" t="s">
        <v>37</v>
      </c>
      <c r="E687" t="s">
        <v>38</v>
      </c>
      <c r="F687" t="str">
        <f>"0000793"</f>
        <v>0000793</v>
      </c>
      <c r="G687">
        <v>1</v>
      </c>
      <c r="H687" t="str">
        <f>"00000000"</f>
        <v>00000000</v>
      </c>
      <c r="I687" t="s">
        <v>39</v>
      </c>
      <c r="J687"/>
      <c r="K687">
        <v>338.98</v>
      </c>
      <c r="L687">
        <v>0.0</v>
      </c>
      <c r="M687"/>
      <c r="N687"/>
      <c r="O687">
        <v>61.02</v>
      </c>
      <c r="P687">
        <v>0.0</v>
      </c>
      <c r="Q687">
        <v>400.0</v>
      </c>
      <c r="R687"/>
      <c r="S687"/>
      <c r="T687"/>
      <c r="U687"/>
      <c r="V687"/>
      <c r="W687">
        <v>18</v>
      </c>
    </row>
    <row r="688" spans="1:23">
      <c r="A688"/>
      <c r="B688" t="s">
        <v>75</v>
      </c>
      <c r="C688" t="s">
        <v>75</v>
      </c>
      <c r="D688" t="s">
        <v>37</v>
      </c>
      <c r="E688" t="s">
        <v>38</v>
      </c>
      <c r="F688" t="str">
        <f>"0000794"</f>
        <v>0000794</v>
      </c>
      <c r="G688">
        <v>1</v>
      </c>
      <c r="H688" t="str">
        <f>"00000000"</f>
        <v>00000000</v>
      </c>
      <c r="I688" t="s">
        <v>39</v>
      </c>
      <c r="J688"/>
      <c r="K688">
        <v>355.93</v>
      </c>
      <c r="L688">
        <v>0.0</v>
      </c>
      <c r="M688"/>
      <c r="N688"/>
      <c r="O688">
        <v>64.07</v>
      </c>
      <c r="P688">
        <v>0.0</v>
      </c>
      <c r="Q688">
        <v>420.0</v>
      </c>
      <c r="R688"/>
      <c r="S688"/>
      <c r="T688"/>
      <c r="U688"/>
      <c r="V688"/>
      <c r="W688">
        <v>18</v>
      </c>
    </row>
    <row r="689" spans="1:23">
      <c r="A689"/>
      <c r="B689" t="s">
        <v>75</v>
      </c>
      <c r="C689" t="s">
        <v>75</v>
      </c>
      <c r="D689" t="s">
        <v>37</v>
      </c>
      <c r="E689" t="s">
        <v>38</v>
      </c>
      <c r="F689" t="str">
        <f>"0000795"</f>
        <v>0000795</v>
      </c>
      <c r="G689">
        <v>1</v>
      </c>
      <c r="H689" t="str">
        <f>"00000000"</f>
        <v>00000000</v>
      </c>
      <c r="I689" t="s">
        <v>39</v>
      </c>
      <c r="J689"/>
      <c r="K689">
        <v>296.61</v>
      </c>
      <c r="L689">
        <v>0.0</v>
      </c>
      <c r="M689"/>
      <c r="N689"/>
      <c r="O689">
        <v>53.39</v>
      </c>
      <c r="P689">
        <v>0.0</v>
      </c>
      <c r="Q689">
        <v>350.0</v>
      </c>
      <c r="R689"/>
      <c r="S689"/>
      <c r="T689"/>
      <c r="U689"/>
      <c r="V689"/>
      <c r="W689">
        <v>18</v>
      </c>
    </row>
    <row r="690" spans="1:23">
      <c r="A690"/>
      <c r="B690" t="s">
        <v>75</v>
      </c>
      <c r="C690" t="s">
        <v>75</v>
      </c>
      <c r="D690" t="s">
        <v>37</v>
      </c>
      <c r="E690" t="s">
        <v>38</v>
      </c>
      <c r="F690" t="str">
        <f>"0000796"</f>
        <v>0000796</v>
      </c>
      <c r="G690">
        <v>1</v>
      </c>
      <c r="H690" t="str">
        <f>"00000000"</f>
        <v>00000000</v>
      </c>
      <c r="I690" t="s">
        <v>39</v>
      </c>
      <c r="J690"/>
      <c r="K690">
        <v>296.61</v>
      </c>
      <c r="L690">
        <v>0.0</v>
      </c>
      <c r="M690"/>
      <c r="N690"/>
      <c r="O690">
        <v>53.39</v>
      </c>
      <c r="P690">
        <v>0.0</v>
      </c>
      <c r="Q690">
        <v>350.0</v>
      </c>
      <c r="R690"/>
      <c r="S690"/>
      <c r="T690"/>
      <c r="U690"/>
      <c r="V690"/>
      <c r="W690">
        <v>18</v>
      </c>
    </row>
    <row r="691" spans="1:23">
      <c r="A691"/>
      <c r="B691" t="s">
        <v>75</v>
      </c>
      <c r="C691" t="s">
        <v>75</v>
      </c>
      <c r="D691" t="s">
        <v>37</v>
      </c>
      <c r="E691" t="s">
        <v>38</v>
      </c>
      <c r="F691" t="str">
        <f>"0000797"</f>
        <v>0000797</v>
      </c>
      <c r="G691">
        <v>1</v>
      </c>
      <c r="H691" t="str">
        <f>"00000000"</f>
        <v>00000000</v>
      </c>
      <c r="I691" t="s">
        <v>39</v>
      </c>
      <c r="J691"/>
      <c r="K691">
        <v>406.78</v>
      </c>
      <c r="L691">
        <v>0.0</v>
      </c>
      <c r="M691"/>
      <c r="N691"/>
      <c r="O691">
        <v>73.22</v>
      </c>
      <c r="P691">
        <v>0.0</v>
      </c>
      <c r="Q691">
        <v>480.0</v>
      </c>
      <c r="R691"/>
      <c r="S691"/>
      <c r="T691"/>
      <c r="U691"/>
      <c r="V691"/>
      <c r="W691">
        <v>18</v>
      </c>
    </row>
    <row r="692" spans="1:23">
      <c r="A692"/>
      <c r="B692" t="s">
        <v>75</v>
      </c>
      <c r="C692" t="s">
        <v>75</v>
      </c>
      <c r="D692" t="s">
        <v>37</v>
      </c>
      <c r="E692" t="s">
        <v>38</v>
      </c>
      <c r="F692" t="str">
        <f>"0000798"</f>
        <v>0000798</v>
      </c>
      <c r="G692">
        <v>1</v>
      </c>
      <c r="H692" t="str">
        <f>"00000000"</f>
        <v>00000000</v>
      </c>
      <c r="I692" t="s">
        <v>39</v>
      </c>
      <c r="J692"/>
      <c r="K692">
        <v>279.66</v>
      </c>
      <c r="L692">
        <v>0.0</v>
      </c>
      <c r="M692"/>
      <c r="N692"/>
      <c r="O692">
        <v>50.34</v>
      </c>
      <c r="P692">
        <v>0.0</v>
      </c>
      <c r="Q692">
        <v>330.0</v>
      </c>
      <c r="R692"/>
      <c r="S692"/>
      <c r="T692"/>
      <c r="U692"/>
      <c r="V692"/>
      <c r="W692">
        <v>18</v>
      </c>
    </row>
    <row r="693" spans="1:23">
      <c r="A693"/>
      <c r="B693" t="s">
        <v>75</v>
      </c>
      <c r="C693" t="s">
        <v>75</v>
      </c>
      <c r="D693" t="s">
        <v>37</v>
      </c>
      <c r="E693" t="s">
        <v>38</v>
      </c>
      <c r="F693" t="str">
        <f>"0000799"</f>
        <v>0000799</v>
      </c>
      <c r="G693">
        <v>1</v>
      </c>
      <c r="H693" t="str">
        <f>"00000000"</f>
        <v>00000000</v>
      </c>
      <c r="I693" t="s">
        <v>39</v>
      </c>
      <c r="J693"/>
      <c r="K693">
        <v>271.19</v>
      </c>
      <c r="L693">
        <v>0.0</v>
      </c>
      <c r="M693"/>
      <c r="N693"/>
      <c r="O693">
        <v>48.81</v>
      </c>
      <c r="P693">
        <v>0.0</v>
      </c>
      <c r="Q693">
        <v>320.0</v>
      </c>
      <c r="R693"/>
      <c r="S693"/>
      <c r="T693"/>
      <c r="U693"/>
      <c r="V693"/>
      <c r="W693">
        <v>18</v>
      </c>
    </row>
    <row r="694" spans="1:23">
      <c r="A694"/>
      <c r="B694" t="s">
        <v>75</v>
      </c>
      <c r="C694" t="s">
        <v>75</v>
      </c>
      <c r="D694" t="s">
        <v>37</v>
      </c>
      <c r="E694" t="s">
        <v>38</v>
      </c>
      <c r="F694" t="str">
        <f>"0000800"</f>
        <v>0000800</v>
      </c>
      <c r="G694">
        <v>1</v>
      </c>
      <c r="H694" t="str">
        <f>"00000000"</f>
        <v>00000000</v>
      </c>
      <c r="I694" t="s">
        <v>39</v>
      </c>
      <c r="J694"/>
      <c r="K694">
        <v>338.98</v>
      </c>
      <c r="L694">
        <v>0.0</v>
      </c>
      <c r="M694"/>
      <c r="N694"/>
      <c r="O694">
        <v>61.02</v>
      </c>
      <c r="P694">
        <v>0.0</v>
      </c>
      <c r="Q694">
        <v>400.0</v>
      </c>
      <c r="R694"/>
      <c r="S694"/>
      <c r="T694"/>
      <c r="U694"/>
      <c r="V694"/>
      <c r="W694">
        <v>18</v>
      </c>
    </row>
    <row r="695" spans="1:23">
      <c r="A695"/>
      <c r="B695" t="s">
        <v>75</v>
      </c>
      <c r="C695" t="s">
        <v>75</v>
      </c>
      <c r="D695" t="s">
        <v>37</v>
      </c>
      <c r="E695" t="s">
        <v>38</v>
      </c>
      <c r="F695" t="str">
        <f>"0000801"</f>
        <v>0000801</v>
      </c>
      <c r="G695">
        <v>1</v>
      </c>
      <c r="H695" t="str">
        <f>"00000000"</f>
        <v>00000000</v>
      </c>
      <c r="I695" t="s">
        <v>39</v>
      </c>
      <c r="J695"/>
      <c r="K695">
        <v>355.93</v>
      </c>
      <c r="L695">
        <v>0.0</v>
      </c>
      <c r="M695"/>
      <c r="N695"/>
      <c r="O695">
        <v>64.07</v>
      </c>
      <c r="P695">
        <v>0.0</v>
      </c>
      <c r="Q695">
        <v>420.0</v>
      </c>
      <c r="R695"/>
      <c r="S695"/>
      <c r="T695"/>
      <c r="U695"/>
      <c r="V695"/>
      <c r="W695">
        <v>18</v>
      </c>
    </row>
    <row r="696" spans="1:23">
      <c r="A696"/>
      <c r="B696" t="s">
        <v>75</v>
      </c>
      <c r="C696" t="s">
        <v>75</v>
      </c>
      <c r="D696" t="s">
        <v>37</v>
      </c>
      <c r="E696" t="s">
        <v>38</v>
      </c>
      <c r="F696" t="str">
        <f>"0000802"</f>
        <v>0000802</v>
      </c>
      <c r="G696">
        <v>1</v>
      </c>
      <c r="H696" t="str">
        <f>"00000000"</f>
        <v>00000000</v>
      </c>
      <c r="I696" t="s">
        <v>39</v>
      </c>
      <c r="J696"/>
      <c r="K696">
        <v>237.29</v>
      </c>
      <c r="L696">
        <v>0.0</v>
      </c>
      <c r="M696"/>
      <c r="N696"/>
      <c r="O696">
        <v>42.71</v>
      </c>
      <c r="P696">
        <v>0.0</v>
      </c>
      <c r="Q696">
        <v>280.0</v>
      </c>
      <c r="R696"/>
      <c r="S696"/>
      <c r="T696"/>
      <c r="U696"/>
      <c r="V696"/>
      <c r="W696">
        <v>18</v>
      </c>
    </row>
    <row r="697" spans="1:23">
      <c r="A697"/>
      <c r="B697" t="s">
        <v>75</v>
      </c>
      <c r="C697" t="s">
        <v>75</v>
      </c>
      <c r="D697" t="s">
        <v>37</v>
      </c>
      <c r="E697" t="s">
        <v>38</v>
      </c>
      <c r="F697" t="str">
        <f>"0000803"</f>
        <v>0000803</v>
      </c>
      <c r="G697">
        <v>1</v>
      </c>
      <c r="H697" t="str">
        <f>"00000000"</f>
        <v>00000000</v>
      </c>
      <c r="I697" t="s">
        <v>39</v>
      </c>
      <c r="J697"/>
      <c r="K697">
        <v>296.61</v>
      </c>
      <c r="L697">
        <v>0.0</v>
      </c>
      <c r="M697"/>
      <c r="N697"/>
      <c r="O697">
        <v>53.39</v>
      </c>
      <c r="P697">
        <v>0.0</v>
      </c>
      <c r="Q697">
        <v>350.0</v>
      </c>
      <c r="R697"/>
      <c r="S697"/>
      <c r="T697"/>
      <c r="U697"/>
      <c r="V697"/>
      <c r="W697">
        <v>18</v>
      </c>
    </row>
    <row r="698" spans="1:23">
      <c r="A698"/>
      <c r="B698" t="s">
        <v>75</v>
      </c>
      <c r="C698" t="s">
        <v>75</v>
      </c>
      <c r="D698" t="s">
        <v>37</v>
      </c>
      <c r="E698" t="s">
        <v>38</v>
      </c>
      <c r="F698" t="str">
        <f>"0000804"</f>
        <v>0000804</v>
      </c>
      <c r="G698">
        <v>1</v>
      </c>
      <c r="H698" t="str">
        <f>"00000000"</f>
        <v>00000000</v>
      </c>
      <c r="I698" t="s">
        <v>39</v>
      </c>
      <c r="J698"/>
      <c r="K698">
        <v>194.92</v>
      </c>
      <c r="L698">
        <v>0.0</v>
      </c>
      <c r="M698"/>
      <c r="N698"/>
      <c r="O698">
        <v>35.08</v>
      </c>
      <c r="P698">
        <v>0.0</v>
      </c>
      <c r="Q698">
        <v>230.0</v>
      </c>
      <c r="R698"/>
      <c r="S698"/>
      <c r="T698"/>
      <c r="U698"/>
      <c r="V698"/>
      <c r="W698">
        <v>18</v>
      </c>
    </row>
    <row r="699" spans="1:23">
      <c r="A699"/>
      <c r="B699" t="s">
        <v>75</v>
      </c>
      <c r="C699" t="s">
        <v>75</v>
      </c>
      <c r="D699" t="s">
        <v>37</v>
      </c>
      <c r="E699" t="s">
        <v>38</v>
      </c>
      <c r="F699" t="str">
        <f>"0000805"</f>
        <v>0000805</v>
      </c>
      <c r="G699">
        <v>1</v>
      </c>
      <c r="H699" t="str">
        <f>"00000000"</f>
        <v>00000000</v>
      </c>
      <c r="I699" t="s">
        <v>39</v>
      </c>
      <c r="J699"/>
      <c r="K699">
        <v>296.61</v>
      </c>
      <c r="L699">
        <v>0.0</v>
      </c>
      <c r="M699"/>
      <c r="N699"/>
      <c r="O699">
        <v>53.39</v>
      </c>
      <c r="P699">
        <v>0.0</v>
      </c>
      <c r="Q699">
        <v>350.0</v>
      </c>
      <c r="R699"/>
      <c r="S699"/>
      <c r="T699"/>
      <c r="U699"/>
      <c r="V699"/>
      <c r="W699">
        <v>18</v>
      </c>
    </row>
    <row r="700" spans="1:23">
      <c r="A700"/>
      <c r="B700" t="s">
        <v>75</v>
      </c>
      <c r="C700" t="s">
        <v>75</v>
      </c>
      <c r="D700" t="s">
        <v>37</v>
      </c>
      <c r="E700" t="s">
        <v>38</v>
      </c>
      <c r="F700" t="str">
        <f>"0000806"</f>
        <v>0000806</v>
      </c>
      <c r="G700">
        <v>1</v>
      </c>
      <c r="H700" t="str">
        <f>"00000000"</f>
        <v>00000000</v>
      </c>
      <c r="I700" t="s">
        <v>39</v>
      </c>
      <c r="J700"/>
      <c r="K700">
        <v>279.66</v>
      </c>
      <c r="L700">
        <v>0.0</v>
      </c>
      <c r="M700"/>
      <c r="N700"/>
      <c r="O700">
        <v>50.34</v>
      </c>
      <c r="P700">
        <v>0.0</v>
      </c>
      <c r="Q700">
        <v>330.0</v>
      </c>
      <c r="R700"/>
      <c r="S700"/>
      <c r="T700"/>
      <c r="U700"/>
      <c r="V700"/>
      <c r="W700">
        <v>18</v>
      </c>
    </row>
    <row r="701" spans="1:23">
      <c r="A701"/>
      <c r="B701" t="s">
        <v>75</v>
      </c>
      <c r="C701" t="s">
        <v>75</v>
      </c>
      <c r="D701" t="s">
        <v>37</v>
      </c>
      <c r="E701" t="s">
        <v>38</v>
      </c>
      <c r="F701" t="str">
        <f>"0000807"</f>
        <v>0000807</v>
      </c>
      <c r="G701">
        <v>1</v>
      </c>
      <c r="H701" t="str">
        <f>"00000000"</f>
        <v>00000000</v>
      </c>
      <c r="I701" t="s">
        <v>39</v>
      </c>
      <c r="J701"/>
      <c r="K701">
        <v>186.44</v>
      </c>
      <c r="L701">
        <v>0.0</v>
      </c>
      <c r="M701"/>
      <c r="N701"/>
      <c r="O701">
        <v>33.56</v>
      </c>
      <c r="P701">
        <v>0.0</v>
      </c>
      <c r="Q701">
        <v>220.0</v>
      </c>
      <c r="R701"/>
      <c r="S701"/>
      <c r="T701"/>
      <c r="U701"/>
      <c r="V701"/>
      <c r="W701">
        <v>18</v>
      </c>
    </row>
    <row r="702" spans="1:23">
      <c r="A702"/>
      <c r="B702" t="s">
        <v>76</v>
      </c>
      <c r="C702" t="s">
        <v>76</v>
      </c>
      <c r="D702" t="s">
        <v>37</v>
      </c>
      <c r="E702" t="s">
        <v>38</v>
      </c>
      <c r="F702" t="str">
        <f>"0000808"</f>
        <v>0000808</v>
      </c>
      <c r="G702">
        <v>1</v>
      </c>
      <c r="H702" t="str">
        <f>"00000000"</f>
        <v>00000000</v>
      </c>
      <c r="I702" t="s">
        <v>39</v>
      </c>
      <c r="J702"/>
      <c r="K702">
        <v>275.42</v>
      </c>
      <c r="L702">
        <v>0.0</v>
      </c>
      <c r="M702"/>
      <c r="N702"/>
      <c r="O702">
        <v>49.58</v>
      </c>
      <c r="P702">
        <v>0.0</v>
      </c>
      <c r="Q702">
        <v>325.0</v>
      </c>
      <c r="R702"/>
      <c r="S702"/>
      <c r="T702"/>
      <c r="U702"/>
      <c r="V702"/>
      <c r="W702">
        <v>18</v>
      </c>
    </row>
    <row r="703" spans="1:23">
      <c r="A703"/>
      <c r="B703" t="s">
        <v>76</v>
      </c>
      <c r="C703" t="s">
        <v>76</v>
      </c>
      <c r="D703" t="s">
        <v>37</v>
      </c>
      <c r="E703" t="s">
        <v>38</v>
      </c>
      <c r="F703" t="str">
        <f>"0000809"</f>
        <v>0000809</v>
      </c>
      <c r="G703">
        <v>1</v>
      </c>
      <c r="H703" t="str">
        <f>"00000000"</f>
        <v>00000000</v>
      </c>
      <c r="I703" t="s">
        <v>39</v>
      </c>
      <c r="J703"/>
      <c r="K703">
        <v>338.98</v>
      </c>
      <c r="L703">
        <v>0.0</v>
      </c>
      <c r="M703"/>
      <c r="N703"/>
      <c r="O703">
        <v>61.02</v>
      </c>
      <c r="P703">
        <v>0.0</v>
      </c>
      <c r="Q703">
        <v>400.0</v>
      </c>
      <c r="R703"/>
      <c r="S703"/>
      <c r="T703"/>
      <c r="U703"/>
      <c r="V703"/>
      <c r="W703">
        <v>18</v>
      </c>
    </row>
    <row r="704" spans="1:23">
      <c r="A704"/>
      <c r="B704" t="s">
        <v>76</v>
      </c>
      <c r="C704" t="s">
        <v>76</v>
      </c>
      <c r="D704" t="s">
        <v>37</v>
      </c>
      <c r="E704" t="s">
        <v>38</v>
      </c>
      <c r="F704" t="str">
        <f>"0000810"</f>
        <v>0000810</v>
      </c>
      <c r="G704">
        <v>1</v>
      </c>
      <c r="H704" t="str">
        <f>"00000000"</f>
        <v>00000000</v>
      </c>
      <c r="I704" t="s">
        <v>39</v>
      </c>
      <c r="J704"/>
      <c r="K704">
        <v>313.56</v>
      </c>
      <c r="L704">
        <v>0.0</v>
      </c>
      <c r="M704"/>
      <c r="N704"/>
      <c r="O704">
        <v>56.44</v>
      </c>
      <c r="P704">
        <v>0.0</v>
      </c>
      <c r="Q704">
        <v>370.0</v>
      </c>
      <c r="R704"/>
      <c r="S704"/>
      <c r="T704"/>
      <c r="U704"/>
      <c r="V704"/>
      <c r="W704">
        <v>18</v>
      </c>
    </row>
    <row r="705" spans="1:23">
      <c r="A705"/>
      <c r="B705" t="s">
        <v>76</v>
      </c>
      <c r="C705" t="s">
        <v>76</v>
      </c>
      <c r="D705" t="s">
        <v>37</v>
      </c>
      <c r="E705" t="s">
        <v>38</v>
      </c>
      <c r="F705" t="str">
        <f>"0000811"</f>
        <v>0000811</v>
      </c>
      <c r="G705">
        <v>1</v>
      </c>
      <c r="H705" t="str">
        <f>"00000000"</f>
        <v>00000000</v>
      </c>
      <c r="I705" t="s">
        <v>39</v>
      </c>
      <c r="J705"/>
      <c r="K705">
        <v>338.98</v>
      </c>
      <c r="L705">
        <v>0.0</v>
      </c>
      <c r="M705"/>
      <c r="N705"/>
      <c r="O705">
        <v>61.02</v>
      </c>
      <c r="P705">
        <v>0.0</v>
      </c>
      <c r="Q705">
        <v>400.0</v>
      </c>
      <c r="R705"/>
      <c r="S705"/>
      <c r="T705"/>
      <c r="U705"/>
      <c r="V705"/>
      <c r="W705">
        <v>18</v>
      </c>
    </row>
    <row r="706" spans="1:23">
      <c r="A706"/>
      <c r="B706" t="s">
        <v>76</v>
      </c>
      <c r="C706" t="s">
        <v>76</v>
      </c>
      <c r="D706" t="s">
        <v>37</v>
      </c>
      <c r="E706" t="s">
        <v>38</v>
      </c>
      <c r="F706" t="str">
        <f>"0000812"</f>
        <v>0000812</v>
      </c>
      <c r="G706">
        <v>1</v>
      </c>
      <c r="H706" t="str">
        <f>"00000000"</f>
        <v>00000000</v>
      </c>
      <c r="I706" t="s">
        <v>39</v>
      </c>
      <c r="J706"/>
      <c r="K706">
        <v>254.24</v>
      </c>
      <c r="L706">
        <v>0.0</v>
      </c>
      <c r="M706"/>
      <c r="N706"/>
      <c r="O706">
        <v>45.76</v>
      </c>
      <c r="P706">
        <v>0.0</v>
      </c>
      <c r="Q706">
        <v>300.0</v>
      </c>
      <c r="R706"/>
      <c r="S706"/>
      <c r="T706"/>
      <c r="U706"/>
      <c r="V706"/>
      <c r="W706">
        <v>18</v>
      </c>
    </row>
    <row r="707" spans="1:23">
      <c r="A707"/>
      <c r="B707" t="s">
        <v>76</v>
      </c>
      <c r="C707" t="s">
        <v>76</v>
      </c>
      <c r="D707" t="s">
        <v>37</v>
      </c>
      <c r="E707" t="s">
        <v>38</v>
      </c>
      <c r="F707" t="str">
        <f>"0000813"</f>
        <v>0000813</v>
      </c>
      <c r="G707">
        <v>1</v>
      </c>
      <c r="H707" t="str">
        <f>"00000000"</f>
        <v>00000000</v>
      </c>
      <c r="I707" t="s">
        <v>39</v>
      </c>
      <c r="J707"/>
      <c r="K707">
        <v>406.78</v>
      </c>
      <c r="L707">
        <v>0.0</v>
      </c>
      <c r="M707"/>
      <c r="N707"/>
      <c r="O707">
        <v>73.22</v>
      </c>
      <c r="P707">
        <v>0.0</v>
      </c>
      <c r="Q707">
        <v>480.0</v>
      </c>
      <c r="R707"/>
      <c r="S707"/>
      <c r="T707"/>
      <c r="U707"/>
      <c r="V707"/>
      <c r="W707">
        <v>18</v>
      </c>
    </row>
    <row r="708" spans="1:23">
      <c r="A708"/>
      <c r="B708" t="s">
        <v>76</v>
      </c>
      <c r="C708" t="s">
        <v>76</v>
      </c>
      <c r="D708" t="s">
        <v>37</v>
      </c>
      <c r="E708" t="s">
        <v>38</v>
      </c>
      <c r="F708" t="str">
        <f>"0000814"</f>
        <v>0000814</v>
      </c>
      <c r="G708">
        <v>1</v>
      </c>
      <c r="H708" t="str">
        <f>"00000000"</f>
        <v>00000000</v>
      </c>
      <c r="I708" t="s">
        <v>39</v>
      </c>
      <c r="J708"/>
      <c r="K708">
        <v>338.98</v>
      </c>
      <c r="L708">
        <v>0.0</v>
      </c>
      <c r="M708"/>
      <c r="N708"/>
      <c r="O708">
        <v>61.02</v>
      </c>
      <c r="P708">
        <v>0.0</v>
      </c>
      <c r="Q708">
        <v>400.0</v>
      </c>
      <c r="R708"/>
      <c r="S708"/>
      <c r="T708"/>
      <c r="U708"/>
      <c r="V708"/>
      <c r="W708">
        <v>18</v>
      </c>
    </row>
    <row r="709" spans="1:23">
      <c r="A709"/>
      <c r="B709" t="s">
        <v>76</v>
      </c>
      <c r="C709" t="s">
        <v>76</v>
      </c>
      <c r="D709" t="s">
        <v>37</v>
      </c>
      <c r="E709" t="s">
        <v>38</v>
      </c>
      <c r="F709" t="str">
        <f>"0000815"</f>
        <v>0000815</v>
      </c>
      <c r="G709">
        <v>1</v>
      </c>
      <c r="H709" t="str">
        <f>"00000000"</f>
        <v>00000000</v>
      </c>
      <c r="I709" t="s">
        <v>39</v>
      </c>
      <c r="J709"/>
      <c r="K709">
        <v>381.36</v>
      </c>
      <c r="L709">
        <v>0.0</v>
      </c>
      <c r="M709"/>
      <c r="N709"/>
      <c r="O709">
        <v>68.64</v>
      </c>
      <c r="P709">
        <v>0.0</v>
      </c>
      <c r="Q709">
        <v>450.0</v>
      </c>
      <c r="R709"/>
      <c r="S709"/>
      <c r="T709"/>
      <c r="U709"/>
      <c r="V709"/>
      <c r="W709">
        <v>18</v>
      </c>
    </row>
    <row r="710" spans="1:23">
      <c r="A710"/>
      <c r="B710" t="s">
        <v>76</v>
      </c>
      <c r="C710" t="s">
        <v>76</v>
      </c>
      <c r="D710" t="s">
        <v>37</v>
      </c>
      <c r="E710" t="s">
        <v>38</v>
      </c>
      <c r="F710" t="str">
        <f>"0000816"</f>
        <v>0000816</v>
      </c>
      <c r="G710">
        <v>1</v>
      </c>
      <c r="H710" t="str">
        <f>"00000000"</f>
        <v>00000000</v>
      </c>
      <c r="I710" t="s">
        <v>39</v>
      </c>
      <c r="J710"/>
      <c r="K710">
        <v>338.98</v>
      </c>
      <c r="L710">
        <v>0.0</v>
      </c>
      <c r="M710"/>
      <c r="N710"/>
      <c r="O710">
        <v>61.02</v>
      </c>
      <c r="P710">
        <v>0.0</v>
      </c>
      <c r="Q710">
        <v>400.0</v>
      </c>
      <c r="R710"/>
      <c r="S710"/>
      <c r="T710"/>
      <c r="U710"/>
      <c r="V710"/>
      <c r="W710">
        <v>18</v>
      </c>
    </row>
    <row r="711" spans="1:23">
      <c r="A711"/>
      <c r="B711" t="s">
        <v>76</v>
      </c>
      <c r="C711" t="s">
        <v>76</v>
      </c>
      <c r="D711" t="s">
        <v>37</v>
      </c>
      <c r="E711" t="s">
        <v>38</v>
      </c>
      <c r="F711" t="str">
        <f>"0000817"</f>
        <v>0000817</v>
      </c>
      <c r="G711">
        <v>1</v>
      </c>
      <c r="H711" t="str">
        <f>"00000000"</f>
        <v>00000000</v>
      </c>
      <c r="I711" t="s">
        <v>39</v>
      </c>
      <c r="J711"/>
      <c r="K711">
        <v>296.61</v>
      </c>
      <c r="L711">
        <v>0.0</v>
      </c>
      <c r="M711"/>
      <c r="N711"/>
      <c r="O711">
        <v>53.39</v>
      </c>
      <c r="P711">
        <v>0.0</v>
      </c>
      <c r="Q711">
        <v>350.0</v>
      </c>
      <c r="R711"/>
      <c r="S711"/>
      <c r="T711"/>
      <c r="U711"/>
      <c r="V711"/>
      <c r="W711">
        <v>18</v>
      </c>
    </row>
    <row r="712" spans="1:23">
      <c r="A712"/>
      <c r="B712" t="s">
        <v>76</v>
      </c>
      <c r="C712" t="s">
        <v>76</v>
      </c>
      <c r="D712" t="s">
        <v>37</v>
      </c>
      <c r="E712" t="s">
        <v>38</v>
      </c>
      <c r="F712" t="str">
        <f>"0000818"</f>
        <v>0000818</v>
      </c>
      <c r="G712">
        <v>1</v>
      </c>
      <c r="H712" t="str">
        <f>"00000000"</f>
        <v>00000000</v>
      </c>
      <c r="I712" t="s">
        <v>39</v>
      </c>
      <c r="J712"/>
      <c r="K712">
        <v>313.56</v>
      </c>
      <c r="L712">
        <v>0.0</v>
      </c>
      <c r="M712"/>
      <c r="N712"/>
      <c r="O712">
        <v>56.44</v>
      </c>
      <c r="P712">
        <v>0.0</v>
      </c>
      <c r="Q712">
        <v>370.0</v>
      </c>
      <c r="R712"/>
      <c r="S712"/>
      <c r="T712"/>
      <c r="U712"/>
      <c r="V712"/>
      <c r="W712">
        <v>18</v>
      </c>
    </row>
    <row r="713" spans="1:23">
      <c r="A713"/>
      <c r="B713" t="s">
        <v>76</v>
      </c>
      <c r="C713" t="s">
        <v>76</v>
      </c>
      <c r="D713" t="s">
        <v>37</v>
      </c>
      <c r="E713" t="s">
        <v>38</v>
      </c>
      <c r="F713" t="str">
        <f>"0000819"</f>
        <v>0000819</v>
      </c>
      <c r="G713">
        <v>1</v>
      </c>
      <c r="H713" t="str">
        <f>"00000000"</f>
        <v>00000000</v>
      </c>
      <c r="I713" t="s">
        <v>39</v>
      </c>
      <c r="J713"/>
      <c r="K713">
        <v>338.98</v>
      </c>
      <c r="L713">
        <v>0.0</v>
      </c>
      <c r="M713"/>
      <c r="N713"/>
      <c r="O713">
        <v>61.02</v>
      </c>
      <c r="P713">
        <v>0.0</v>
      </c>
      <c r="Q713">
        <v>400.0</v>
      </c>
      <c r="R713"/>
      <c r="S713"/>
      <c r="T713"/>
      <c r="U713"/>
      <c r="V713"/>
      <c r="W713">
        <v>18</v>
      </c>
    </row>
    <row r="714" spans="1:23">
      <c r="A714"/>
      <c r="B714" t="s">
        <v>76</v>
      </c>
      <c r="C714" t="s">
        <v>76</v>
      </c>
      <c r="D714" t="s">
        <v>37</v>
      </c>
      <c r="E714" t="s">
        <v>38</v>
      </c>
      <c r="F714" t="str">
        <f>"0000820"</f>
        <v>0000820</v>
      </c>
      <c r="G714">
        <v>1</v>
      </c>
      <c r="H714" t="str">
        <f>"00000000"</f>
        <v>00000000</v>
      </c>
      <c r="I714" t="s">
        <v>39</v>
      </c>
      <c r="J714"/>
      <c r="K714">
        <v>338.98</v>
      </c>
      <c r="L714">
        <v>0.0</v>
      </c>
      <c r="M714"/>
      <c r="N714"/>
      <c r="O714">
        <v>61.02</v>
      </c>
      <c r="P714">
        <v>0.0</v>
      </c>
      <c r="Q714">
        <v>400.0</v>
      </c>
      <c r="R714"/>
      <c r="S714"/>
      <c r="T714"/>
      <c r="U714"/>
      <c r="V714"/>
      <c r="W714">
        <v>18</v>
      </c>
    </row>
    <row r="715" spans="1:23">
      <c r="A715"/>
      <c r="B715" t="s">
        <v>76</v>
      </c>
      <c r="C715" t="s">
        <v>76</v>
      </c>
      <c r="D715" t="s">
        <v>37</v>
      </c>
      <c r="E715" t="s">
        <v>38</v>
      </c>
      <c r="F715" t="str">
        <f>"0000821"</f>
        <v>0000821</v>
      </c>
      <c r="G715">
        <v>1</v>
      </c>
      <c r="H715" t="str">
        <f>"00000000"</f>
        <v>00000000</v>
      </c>
      <c r="I715" t="s">
        <v>39</v>
      </c>
      <c r="J715"/>
      <c r="K715">
        <v>186.44</v>
      </c>
      <c r="L715">
        <v>0.0</v>
      </c>
      <c r="M715"/>
      <c r="N715"/>
      <c r="O715">
        <v>33.56</v>
      </c>
      <c r="P715">
        <v>0.0</v>
      </c>
      <c r="Q715">
        <v>220.0</v>
      </c>
      <c r="R715"/>
      <c r="S715"/>
      <c r="T715"/>
      <c r="U715"/>
      <c r="V715"/>
      <c r="W715">
        <v>18</v>
      </c>
    </row>
    <row r="716" spans="1:23">
      <c r="A716"/>
      <c r="B716" t="s">
        <v>77</v>
      </c>
      <c r="C716" t="s">
        <v>77</v>
      </c>
      <c r="D716" t="s">
        <v>37</v>
      </c>
      <c r="E716" t="s">
        <v>38</v>
      </c>
      <c r="F716" t="str">
        <f>"0000822"</f>
        <v>0000822</v>
      </c>
      <c r="G716">
        <v>1</v>
      </c>
      <c r="H716" t="str">
        <f>"00000000"</f>
        <v>00000000</v>
      </c>
      <c r="I716" t="s">
        <v>39</v>
      </c>
      <c r="J716"/>
      <c r="K716">
        <v>381.36</v>
      </c>
      <c r="L716">
        <v>0.0</v>
      </c>
      <c r="M716"/>
      <c r="N716"/>
      <c r="O716">
        <v>68.64</v>
      </c>
      <c r="P716">
        <v>0.0</v>
      </c>
      <c r="Q716">
        <v>450.0</v>
      </c>
      <c r="R716"/>
      <c r="S716"/>
      <c r="T716"/>
      <c r="U716"/>
      <c r="V716"/>
      <c r="W716">
        <v>18</v>
      </c>
    </row>
    <row r="717" spans="1:23">
      <c r="A717"/>
      <c r="B717" t="s">
        <v>77</v>
      </c>
      <c r="C717" t="s">
        <v>77</v>
      </c>
      <c r="D717" t="s">
        <v>37</v>
      </c>
      <c r="E717" t="s">
        <v>38</v>
      </c>
      <c r="F717" t="str">
        <f>"0000823"</f>
        <v>0000823</v>
      </c>
      <c r="G717">
        <v>1</v>
      </c>
      <c r="H717" t="str">
        <f>"00000000"</f>
        <v>00000000</v>
      </c>
      <c r="I717" t="s">
        <v>39</v>
      </c>
      <c r="J717"/>
      <c r="K717">
        <v>296.61</v>
      </c>
      <c r="L717">
        <v>0.0</v>
      </c>
      <c r="M717"/>
      <c r="N717"/>
      <c r="O717">
        <v>53.39</v>
      </c>
      <c r="P717">
        <v>0.0</v>
      </c>
      <c r="Q717">
        <v>350.0</v>
      </c>
      <c r="R717"/>
      <c r="S717"/>
      <c r="T717"/>
      <c r="U717"/>
      <c r="V717"/>
      <c r="W717">
        <v>18</v>
      </c>
    </row>
    <row r="718" spans="1:23">
      <c r="A718"/>
      <c r="B718" t="s">
        <v>77</v>
      </c>
      <c r="C718" t="s">
        <v>77</v>
      </c>
      <c r="D718" t="s">
        <v>37</v>
      </c>
      <c r="E718" t="s">
        <v>38</v>
      </c>
      <c r="F718" t="str">
        <f>"0000824"</f>
        <v>0000824</v>
      </c>
      <c r="G718">
        <v>1</v>
      </c>
      <c r="H718" t="str">
        <f>"00000000"</f>
        <v>00000000</v>
      </c>
      <c r="I718" t="s">
        <v>39</v>
      </c>
      <c r="J718"/>
      <c r="K718">
        <v>254.24</v>
      </c>
      <c r="L718">
        <v>0.0</v>
      </c>
      <c r="M718"/>
      <c r="N718"/>
      <c r="O718">
        <v>45.76</v>
      </c>
      <c r="P718">
        <v>0.0</v>
      </c>
      <c r="Q718">
        <v>300.0</v>
      </c>
      <c r="R718"/>
      <c r="S718"/>
      <c r="T718"/>
      <c r="U718"/>
      <c r="V718"/>
      <c r="W718">
        <v>18</v>
      </c>
    </row>
    <row r="719" spans="1:23">
      <c r="A719"/>
      <c r="B719" t="s">
        <v>77</v>
      </c>
      <c r="C719" t="s">
        <v>77</v>
      </c>
      <c r="D719" t="s">
        <v>37</v>
      </c>
      <c r="E719" t="s">
        <v>38</v>
      </c>
      <c r="F719" t="str">
        <f>"0000825"</f>
        <v>0000825</v>
      </c>
      <c r="G719">
        <v>1</v>
      </c>
      <c r="H719" t="str">
        <f>"00000000"</f>
        <v>00000000</v>
      </c>
      <c r="I719" t="s">
        <v>39</v>
      </c>
      <c r="J719"/>
      <c r="K719">
        <v>372.88</v>
      </c>
      <c r="L719">
        <v>0.0</v>
      </c>
      <c r="M719"/>
      <c r="N719"/>
      <c r="O719">
        <v>67.12</v>
      </c>
      <c r="P719">
        <v>0.0</v>
      </c>
      <c r="Q719">
        <v>440.0</v>
      </c>
      <c r="R719"/>
      <c r="S719"/>
      <c r="T719"/>
      <c r="U719"/>
      <c r="V719"/>
      <c r="W719">
        <v>18</v>
      </c>
    </row>
    <row r="720" spans="1:23">
      <c r="A720"/>
      <c r="B720" t="s">
        <v>77</v>
      </c>
      <c r="C720" t="s">
        <v>77</v>
      </c>
      <c r="D720" t="s">
        <v>37</v>
      </c>
      <c r="E720" t="s">
        <v>38</v>
      </c>
      <c r="F720" t="str">
        <f>"0000826"</f>
        <v>0000826</v>
      </c>
      <c r="G720">
        <v>1</v>
      </c>
      <c r="H720" t="str">
        <f>"00000000"</f>
        <v>00000000</v>
      </c>
      <c r="I720" t="s">
        <v>39</v>
      </c>
      <c r="J720"/>
      <c r="K720">
        <v>406.78</v>
      </c>
      <c r="L720">
        <v>0.0</v>
      </c>
      <c r="M720"/>
      <c r="N720"/>
      <c r="O720">
        <v>73.22</v>
      </c>
      <c r="P720">
        <v>0.0</v>
      </c>
      <c r="Q720">
        <v>480.0</v>
      </c>
      <c r="R720"/>
      <c r="S720"/>
      <c r="T720"/>
      <c r="U720"/>
      <c r="V720"/>
      <c r="W720">
        <v>18</v>
      </c>
    </row>
    <row r="721" spans="1:23">
      <c r="A721"/>
      <c r="B721" t="s">
        <v>77</v>
      </c>
      <c r="C721" t="s">
        <v>77</v>
      </c>
      <c r="D721" t="s">
        <v>37</v>
      </c>
      <c r="E721" t="s">
        <v>38</v>
      </c>
      <c r="F721" t="str">
        <f>"0000827"</f>
        <v>0000827</v>
      </c>
      <c r="G721">
        <v>1</v>
      </c>
      <c r="H721" t="str">
        <f>"00000000"</f>
        <v>00000000</v>
      </c>
      <c r="I721" t="s">
        <v>39</v>
      </c>
      <c r="J721"/>
      <c r="K721">
        <v>275.42</v>
      </c>
      <c r="L721">
        <v>0.0</v>
      </c>
      <c r="M721"/>
      <c r="N721"/>
      <c r="O721">
        <v>49.58</v>
      </c>
      <c r="P721">
        <v>0.0</v>
      </c>
      <c r="Q721">
        <v>325.0</v>
      </c>
      <c r="R721"/>
      <c r="S721"/>
      <c r="T721"/>
      <c r="U721"/>
      <c r="V721"/>
      <c r="W721">
        <v>18</v>
      </c>
    </row>
    <row r="722" spans="1:23">
      <c r="A722"/>
      <c r="B722" t="s">
        <v>77</v>
      </c>
      <c r="C722" t="s">
        <v>77</v>
      </c>
      <c r="D722" t="s">
        <v>37</v>
      </c>
      <c r="E722" t="s">
        <v>38</v>
      </c>
      <c r="F722" t="str">
        <f>"0000828"</f>
        <v>0000828</v>
      </c>
      <c r="G722">
        <v>1</v>
      </c>
      <c r="H722" t="str">
        <f>"00000000"</f>
        <v>00000000</v>
      </c>
      <c r="I722" t="s">
        <v>39</v>
      </c>
      <c r="J722"/>
      <c r="K722">
        <v>296.61</v>
      </c>
      <c r="L722">
        <v>0.0</v>
      </c>
      <c r="M722"/>
      <c r="N722"/>
      <c r="O722">
        <v>53.39</v>
      </c>
      <c r="P722">
        <v>0.0</v>
      </c>
      <c r="Q722">
        <v>350.0</v>
      </c>
      <c r="R722"/>
      <c r="S722"/>
      <c r="T722"/>
      <c r="U722"/>
      <c r="V722"/>
      <c r="W722">
        <v>18</v>
      </c>
    </row>
    <row r="723" spans="1:23">
      <c r="A723"/>
      <c r="B723" t="s">
        <v>77</v>
      </c>
      <c r="C723" t="s">
        <v>77</v>
      </c>
      <c r="D723" t="s">
        <v>37</v>
      </c>
      <c r="E723" t="s">
        <v>38</v>
      </c>
      <c r="F723" t="str">
        <f>"0000829"</f>
        <v>0000829</v>
      </c>
      <c r="G723">
        <v>1</v>
      </c>
      <c r="H723" t="str">
        <f>"00000000"</f>
        <v>00000000</v>
      </c>
      <c r="I723" t="s">
        <v>39</v>
      </c>
      <c r="J723"/>
      <c r="K723">
        <v>279.66</v>
      </c>
      <c r="L723">
        <v>0.0</v>
      </c>
      <c r="M723"/>
      <c r="N723"/>
      <c r="O723">
        <v>50.34</v>
      </c>
      <c r="P723">
        <v>0.0</v>
      </c>
      <c r="Q723">
        <v>330.0</v>
      </c>
      <c r="R723"/>
      <c r="S723"/>
      <c r="T723"/>
      <c r="U723"/>
      <c r="V723"/>
      <c r="W723">
        <v>18</v>
      </c>
    </row>
    <row r="724" spans="1:23">
      <c r="A724"/>
      <c r="B724" t="s">
        <v>77</v>
      </c>
      <c r="C724" t="s">
        <v>77</v>
      </c>
      <c r="D724" t="s">
        <v>37</v>
      </c>
      <c r="E724" t="s">
        <v>38</v>
      </c>
      <c r="F724" t="str">
        <f>"0000830"</f>
        <v>0000830</v>
      </c>
      <c r="G724">
        <v>1</v>
      </c>
      <c r="H724" t="str">
        <f>"00000000"</f>
        <v>00000000</v>
      </c>
      <c r="I724" t="s">
        <v>39</v>
      </c>
      <c r="J724"/>
      <c r="K724">
        <v>381.36</v>
      </c>
      <c r="L724">
        <v>0.0</v>
      </c>
      <c r="M724"/>
      <c r="N724"/>
      <c r="O724">
        <v>68.64</v>
      </c>
      <c r="P724">
        <v>0.0</v>
      </c>
      <c r="Q724">
        <v>450.0</v>
      </c>
      <c r="R724"/>
      <c r="S724"/>
      <c r="T724"/>
      <c r="U724"/>
      <c r="V724"/>
      <c r="W724">
        <v>18</v>
      </c>
    </row>
    <row r="725" spans="1:23">
      <c r="A725"/>
      <c r="B725" t="s">
        <v>77</v>
      </c>
      <c r="C725" t="s">
        <v>77</v>
      </c>
      <c r="D725" t="s">
        <v>37</v>
      </c>
      <c r="E725" t="s">
        <v>38</v>
      </c>
      <c r="F725" t="str">
        <f>"0000831"</f>
        <v>0000831</v>
      </c>
      <c r="G725">
        <v>1</v>
      </c>
      <c r="H725" t="str">
        <f>"00000000"</f>
        <v>00000000</v>
      </c>
      <c r="I725" t="s">
        <v>39</v>
      </c>
      <c r="J725"/>
      <c r="K725">
        <v>296.61</v>
      </c>
      <c r="L725">
        <v>0.0</v>
      </c>
      <c r="M725"/>
      <c r="N725"/>
      <c r="O725">
        <v>53.39</v>
      </c>
      <c r="P725">
        <v>0.0</v>
      </c>
      <c r="Q725">
        <v>350.0</v>
      </c>
      <c r="R725"/>
      <c r="S725"/>
      <c r="T725"/>
      <c r="U725"/>
      <c r="V725"/>
      <c r="W725">
        <v>18</v>
      </c>
    </row>
    <row r="726" spans="1:23">
      <c r="A726"/>
      <c r="B726" t="s">
        <v>77</v>
      </c>
      <c r="C726" t="s">
        <v>77</v>
      </c>
      <c r="D726" t="s">
        <v>37</v>
      </c>
      <c r="E726" t="s">
        <v>38</v>
      </c>
      <c r="F726" t="str">
        <f>"0000832"</f>
        <v>0000832</v>
      </c>
      <c r="G726">
        <v>1</v>
      </c>
      <c r="H726" t="str">
        <f>"00000000"</f>
        <v>00000000</v>
      </c>
      <c r="I726" t="s">
        <v>39</v>
      </c>
      <c r="J726"/>
      <c r="K726">
        <v>406.78</v>
      </c>
      <c r="L726">
        <v>0.0</v>
      </c>
      <c r="M726"/>
      <c r="N726"/>
      <c r="O726">
        <v>73.22</v>
      </c>
      <c r="P726">
        <v>0.0</v>
      </c>
      <c r="Q726">
        <v>480.0</v>
      </c>
      <c r="R726"/>
      <c r="S726"/>
      <c r="T726"/>
      <c r="U726"/>
      <c r="V726"/>
      <c r="W726">
        <v>18</v>
      </c>
    </row>
    <row r="727" spans="1:23">
      <c r="A727"/>
      <c r="B727" t="s">
        <v>77</v>
      </c>
      <c r="C727" t="s">
        <v>77</v>
      </c>
      <c r="D727" t="s">
        <v>37</v>
      </c>
      <c r="E727" t="s">
        <v>38</v>
      </c>
      <c r="F727" t="str">
        <f>"0000833"</f>
        <v>0000833</v>
      </c>
      <c r="G727">
        <v>1</v>
      </c>
      <c r="H727" t="str">
        <f>"00000000"</f>
        <v>00000000</v>
      </c>
      <c r="I727" t="s">
        <v>39</v>
      </c>
      <c r="J727"/>
      <c r="K727">
        <v>406.78</v>
      </c>
      <c r="L727">
        <v>0.0</v>
      </c>
      <c r="M727"/>
      <c r="N727"/>
      <c r="O727">
        <v>73.22</v>
      </c>
      <c r="P727">
        <v>0.0</v>
      </c>
      <c r="Q727">
        <v>480.0</v>
      </c>
      <c r="R727"/>
      <c r="S727"/>
      <c r="T727"/>
      <c r="U727"/>
      <c r="V727"/>
      <c r="W727">
        <v>18</v>
      </c>
    </row>
    <row r="728" spans="1:23">
      <c r="A728"/>
      <c r="B728" t="s">
        <v>77</v>
      </c>
      <c r="C728" t="s">
        <v>77</v>
      </c>
      <c r="D728" t="s">
        <v>37</v>
      </c>
      <c r="E728" t="s">
        <v>38</v>
      </c>
      <c r="F728" t="str">
        <f>"0000834"</f>
        <v>0000834</v>
      </c>
      <c r="G728">
        <v>1</v>
      </c>
      <c r="H728" t="str">
        <f>"00000000"</f>
        <v>00000000</v>
      </c>
      <c r="I728" t="s">
        <v>39</v>
      </c>
      <c r="J728"/>
      <c r="K728">
        <v>423.73</v>
      </c>
      <c r="L728">
        <v>0.0</v>
      </c>
      <c r="M728"/>
      <c r="N728"/>
      <c r="O728">
        <v>76.27</v>
      </c>
      <c r="P728">
        <v>0.0</v>
      </c>
      <c r="Q728">
        <v>500.0</v>
      </c>
      <c r="R728"/>
      <c r="S728"/>
      <c r="T728"/>
      <c r="U728"/>
      <c r="V728"/>
      <c r="W728">
        <v>18</v>
      </c>
    </row>
    <row r="729" spans="1:23">
      <c r="A729"/>
      <c r="B729" t="s">
        <v>77</v>
      </c>
      <c r="C729" t="s">
        <v>77</v>
      </c>
      <c r="D729" t="s">
        <v>37</v>
      </c>
      <c r="E729" t="s">
        <v>38</v>
      </c>
      <c r="F729" t="str">
        <f>"0000835"</f>
        <v>0000835</v>
      </c>
      <c r="G729">
        <v>1</v>
      </c>
      <c r="H729" t="str">
        <f>"00000000"</f>
        <v>00000000</v>
      </c>
      <c r="I729" t="s">
        <v>39</v>
      </c>
      <c r="J729"/>
      <c r="K729">
        <v>296.61</v>
      </c>
      <c r="L729">
        <v>0.0</v>
      </c>
      <c r="M729"/>
      <c r="N729"/>
      <c r="O729">
        <v>53.39</v>
      </c>
      <c r="P729">
        <v>0.0</v>
      </c>
      <c r="Q729">
        <v>350.0</v>
      </c>
      <c r="R729"/>
      <c r="S729"/>
      <c r="T729"/>
      <c r="U729"/>
      <c r="V729"/>
      <c r="W729">
        <v>18</v>
      </c>
    </row>
    <row r="730" spans="1:23">
      <c r="A730"/>
      <c r="B730" t="s">
        <v>77</v>
      </c>
      <c r="C730" t="s">
        <v>77</v>
      </c>
      <c r="D730" t="s">
        <v>37</v>
      </c>
      <c r="E730" t="s">
        <v>38</v>
      </c>
      <c r="F730" t="str">
        <f>"0000836"</f>
        <v>0000836</v>
      </c>
      <c r="G730">
        <v>1</v>
      </c>
      <c r="H730" t="str">
        <f>"00000000"</f>
        <v>00000000</v>
      </c>
      <c r="I730" t="s">
        <v>39</v>
      </c>
      <c r="J730"/>
      <c r="K730">
        <v>355.93</v>
      </c>
      <c r="L730">
        <v>0.0</v>
      </c>
      <c r="M730"/>
      <c r="N730"/>
      <c r="O730">
        <v>64.07</v>
      </c>
      <c r="P730">
        <v>0.0</v>
      </c>
      <c r="Q730">
        <v>420.0</v>
      </c>
      <c r="R730"/>
      <c r="S730"/>
      <c r="T730"/>
      <c r="U730"/>
      <c r="V730"/>
      <c r="W730">
        <v>18</v>
      </c>
    </row>
    <row r="731" spans="1:23">
      <c r="A731"/>
      <c r="B731" t="s">
        <v>77</v>
      </c>
      <c r="C731" t="s">
        <v>77</v>
      </c>
      <c r="D731" t="s">
        <v>37</v>
      </c>
      <c r="E731" t="s">
        <v>38</v>
      </c>
      <c r="F731" t="str">
        <f>"0000837"</f>
        <v>0000837</v>
      </c>
      <c r="G731">
        <v>1</v>
      </c>
      <c r="H731" t="str">
        <f>"00000000"</f>
        <v>00000000</v>
      </c>
      <c r="I731" t="s">
        <v>39</v>
      </c>
      <c r="J731"/>
      <c r="K731">
        <v>330.51</v>
      </c>
      <c r="L731">
        <v>0.0</v>
      </c>
      <c r="M731"/>
      <c r="N731"/>
      <c r="O731">
        <v>59.49</v>
      </c>
      <c r="P731">
        <v>0.0</v>
      </c>
      <c r="Q731">
        <v>390.0</v>
      </c>
      <c r="R731"/>
      <c r="S731"/>
      <c r="T731"/>
      <c r="U731"/>
      <c r="V731"/>
      <c r="W731">
        <v>18</v>
      </c>
    </row>
    <row r="732" spans="1:23">
      <c r="A732"/>
      <c r="B732" t="s">
        <v>77</v>
      </c>
      <c r="C732" t="s">
        <v>77</v>
      </c>
      <c r="D732" t="s">
        <v>37</v>
      </c>
      <c r="E732" t="s">
        <v>38</v>
      </c>
      <c r="F732" t="str">
        <f>"0000838"</f>
        <v>0000838</v>
      </c>
      <c r="G732">
        <v>1</v>
      </c>
      <c r="H732" t="str">
        <f>"00000000"</f>
        <v>00000000</v>
      </c>
      <c r="I732" t="s">
        <v>39</v>
      </c>
      <c r="J732"/>
      <c r="K732">
        <v>372.88</v>
      </c>
      <c r="L732">
        <v>0.0</v>
      </c>
      <c r="M732"/>
      <c r="N732"/>
      <c r="O732">
        <v>67.12</v>
      </c>
      <c r="P732">
        <v>0.0</v>
      </c>
      <c r="Q732">
        <v>440.0</v>
      </c>
      <c r="R732"/>
      <c r="S732"/>
      <c r="T732"/>
      <c r="U732"/>
      <c r="V732"/>
      <c r="W732">
        <v>18</v>
      </c>
    </row>
    <row r="733" spans="1:23">
      <c r="A733"/>
      <c r="B733" t="s">
        <v>77</v>
      </c>
      <c r="C733" t="s">
        <v>77</v>
      </c>
      <c r="D733" t="s">
        <v>37</v>
      </c>
      <c r="E733" t="s">
        <v>38</v>
      </c>
      <c r="F733" t="str">
        <f>"0000839"</f>
        <v>0000839</v>
      </c>
      <c r="G733">
        <v>1</v>
      </c>
      <c r="H733" t="str">
        <f>"00000000"</f>
        <v>00000000</v>
      </c>
      <c r="I733" t="s">
        <v>39</v>
      </c>
      <c r="J733"/>
      <c r="K733">
        <v>389.83</v>
      </c>
      <c r="L733">
        <v>0.0</v>
      </c>
      <c r="M733"/>
      <c r="N733"/>
      <c r="O733">
        <v>70.17</v>
      </c>
      <c r="P733">
        <v>0.0</v>
      </c>
      <c r="Q733">
        <v>460.0</v>
      </c>
      <c r="R733"/>
      <c r="S733"/>
      <c r="T733"/>
      <c r="U733"/>
      <c r="V733"/>
      <c r="W733">
        <v>18</v>
      </c>
    </row>
    <row r="734" spans="1:23">
      <c r="A734"/>
      <c r="B734" t="s">
        <v>77</v>
      </c>
      <c r="C734" t="s">
        <v>77</v>
      </c>
      <c r="D734" t="s">
        <v>37</v>
      </c>
      <c r="E734" t="s">
        <v>38</v>
      </c>
      <c r="F734" t="str">
        <f>"0000840"</f>
        <v>0000840</v>
      </c>
      <c r="G734">
        <v>1</v>
      </c>
      <c r="H734" t="str">
        <f>"00000000"</f>
        <v>00000000</v>
      </c>
      <c r="I734" t="s">
        <v>39</v>
      </c>
      <c r="J734"/>
      <c r="K734">
        <v>355.93</v>
      </c>
      <c r="L734">
        <v>0.0</v>
      </c>
      <c r="M734"/>
      <c r="N734"/>
      <c r="O734">
        <v>64.07</v>
      </c>
      <c r="P734">
        <v>0.0</v>
      </c>
      <c r="Q734">
        <v>420.0</v>
      </c>
      <c r="R734"/>
      <c r="S734"/>
      <c r="T734"/>
      <c r="U734"/>
      <c r="V734"/>
      <c r="W734">
        <v>18</v>
      </c>
    </row>
    <row r="735" spans="1:23">
      <c r="A735"/>
      <c r="B735" t="s">
        <v>77</v>
      </c>
      <c r="C735" t="s">
        <v>77</v>
      </c>
      <c r="D735" t="s">
        <v>37</v>
      </c>
      <c r="E735" t="s">
        <v>38</v>
      </c>
      <c r="F735" t="str">
        <f>"0000841"</f>
        <v>0000841</v>
      </c>
      <c r="G735">
        <v>1</v>
      </c>
      <c r="H735" t="str">
        <f>"00000000"</f>
        <v>00000000</v>
      </c>
      <c r="I735" t="s">
        <v>39</v>
      </c>
      <c r="J735"/>
      <c r="K735">
        <v>220.34</v>
      </c>
      <c r="L735">
        <v>0.0</v>
      </c>
      <c r="M735"/>
      <c r="N735"/>
      <c r="O735">
        <v>39.66</v>
      </c>
      <c r="P735">
        <v>0.0</v>
      </c>
      <c r="Q735">
        <v>260.0</v>
      </c>
      <c r="R735"/>
      <c r="S735"/>
      <c r="T735"/>
      <c r="U735"/>
      <c r="V735"/>
      <c r="W735">
        <v>18</v>
      </c>
    </row>
    <row r="736" spans="1:23">
      <c r="A736"/>
      <c r="B736" t="s">
        <v>77</v>
      </c>
      <c r="C736" t="s">
        <v>77</v>
      </c>
      <c r="D736" t="s">
        <v>37</v>
      </c>
      <c r="E736" t="s">
        <v>38</v>
      </c>
      <c r="F736" t="str">
        <f>"0000842"</f>
        <v>0000842</v>
      </c>
      <c r="G736">
        <v>1</v>
      </c>
      <c r="H736" t="str">
        <f>"00000000"</f>
        <v>00000000</v>
      </c>
      <c r="I736" t="s">
        <v>39</v>
      </c>
      <c r="J736"/>
      <c r="K736">
        <v>296.61</v>
      </c>
      <c r="L736">
        <v>0.0</v>
      </c>
      <c r="M736"/>
      <c r="N736"/>
      <c r="O736">
        <v>53.39</v>
      </c>
      <c r="P736">
        <v>0.0</v>
      </c>
      <c r="Q736">
        <v>350.0</v>
      </c>
      <c r="R736"/>
      <c r="S736"/>
      <c r="T736"/>
      <c r="U736"/>
      <c r="V736"/>
      <c r="W736">
        <v>18</v>
      </c>
    </row>
    <row r="737" spans="1:23">
      <c r="A737"/>
      <c r="B737" t="s">
        <v>77</v>
      </c>
      <c r="C737" t="s">
        <v>77</v>
      </c>
      <c r="D737" t="s">
        <v>37</v>
      </c>
      <c r="E737" t="s">
        <v>38</v>
      </c>
      <c r="F737" t="str">
        <f>"0000843"</f>
        <v>0000843</v>
      </c>
      <c r="G737">
        <v>1</v>
      </c>
      <c r="H737" t="str">
        <f>"00000000"</f>
        <v>00000000</v>
      </c>
      <c r="I737" t="s">
        <v>39</v>
      </c>
      <c r="J737"/>
      <c r="K737">
        <v>296.61</v>
      </c>
      <c r="L737">
        <v>0.0</v>
      </c>
      <c r="M737"/>
      <c r="N737"/>
      <c r="O737">
        <v>53.39</v>
      </c>
      <c r="P737">
        <v>0.0</v>
      </c>
      <c r="Q737">
        <v>350.0</v>
      </c>
      <c r="R737"/>
      <c r="S737"/>
      <c r="T737"/>
      <c r="U737"/>
      <c r="V737"/>
      <c r="W737">
        <v>18</v>
      </c>
    </row>
    <row r="738" spans="1:23">
      <c r="A738"/>
      <c r="B738" t="s">
        <v>77</v>
      </c>
      <c r="C738" t="s">
        <v>77</v>
      </c>
      <c r="D738" t="s">
        <v>37</v>
      </c>
      <c r="E738" t="s">
        <v>38</v>
      </c>
      <c r="F738" t="str">
        <f>"0000844"</f>
        <v>0000844</v>
      </c>
      <c r="G738">
        <v>1</v>
      </c>
      <c r="H738" t="str">
        <f>"00000000"</f>
        <v>00000000</v>
      </c>
      <c r="I738" t="s">
        <v>39</v>
      </c>
      <c r="J738"/>
      <c r="K738">
        <v>279.66</v>
      </c>
      <c r="L738">
        <v>0.0</v>
      </c>
      <c r="M738"/>
      <c r="N738"/>
      <c r="O738">
        <v>50.34</v>
      </c>
      <c r="P738">
        <v>0.0</v>
      </c>
      <c r="Q738">
        <v>330.0</v>
      </c>
      <c r="R738"/>
      <c r="S738"/>
      <c r="T738"/>
      <c r="U738"/>
      <c r="V738"/>
      <c r="W738">
        <v>18</v>
      </c>
    </row>
    <row r="739" spans="1:23">
      <c r="A739"/>
      <c r="B739" t="s">
        <v>77</v>
      </c>
      <c r="C739" t="s">
        <v>77</v>
      </c>
      <c r="D739" t="s">
        <v>37</v>
      </c>
      <c r="E739" t="s">
        <v>38</v>
      </c>
      <c r="F739" t="str">
        <f>"0000845"</f>
        <v>0000845</v>
      </c>
      <c r="G739">
        <v>1</v>
      </c>
      <c r="H739" t="str">
        <f>"00000000"</f>
        <v>00000000</v>
      </c>
      <c r="I739" t="s">
        <v>39</v>
      </c>
      <c r="J739"/>
      <c r="K739">
        <v>296.61</v>
      </c>
      <c r="L739">
        <v>0.0</v>
      </c>
      <c r="M739"/>
      <c r="N739"/>
      <c r="O739">
        <v>53.39</v>
      </c>
      <c r="P739">
        <v>0.0</v>
      </c>
      <c r="Q739">
        <v>350.0</v>
      </c>
      <c r="R739"/>
      <c r="S739"/>
      <c r="T739"/>
      <c r="U739"/>
      <c r="V739"/>
      <c r="W739">
        <v>18</v>
      </c>
    </row>
    <row r="740" spans="1:23">
      <c r="A740"/>
      <c r="B740" t="s">
        <v>77</v>
      </c>
      <c r="C740" t="s">
        <v>77</v>
      </c>
      <c r="D740" t="s">
        <v>37</v>
      </c>
      <c r="E740" t="s">
        <v>38</v>
      </c>
      <c r="F740" t="str">
        <f>"0000846"</f>
        <v>0000846</v>
      </c>
      <c r="G740">
        <v>1</v>
      </c>
      <c r="H740" t="str">
        <f>"00000000"</f>
        <v>00000000</v>
      </c>
      <c r="I740" t="s">
        <v>39</v>
      </c>
      <c r="J740"/>
      <c r="K740">
        <v>211.86</v>
      </c>
      <c r="L740">
        <v>0.0</v>
      </c>
      <c r="M740"/>
      <c r="N740"/>
      <c r="O740">
        <v>38.14</v>
      </c>
      <c r="P740">
        <v>0.0</v>
      </c>
      <c r="Q740">
        <v>250.0</v>
      </c>
      <c r="R740"/>
      <c r="S740"/>
      <c r="T740"/>
      <c r="U740"/>
      <c r="V740"/>
      <c r="W740">
        <v>18</v>
      </c>
    </row>
    <row r="741" spans="1:23">
      <c r="A741"/>
      <c r="B741" t="s">
        <v>77</v>
      </c>
      <c r="C741" t="s">
        <v>77</v>
      </c>
      <c r="D741" t="s">
        <v>37</v>
      </c>
      <c r="E741" t="s">
        <v>38</v>
      </c>
      <c r="F741" t="str">
        <f>"0000847"</f>
        <v>0000847</v>
      </c>
      <c r="G741">
        <v>1</v>
      </c>
      <c r="H741" t="str">
        <f>"00000000"</f>
        <v>00000000</v>
      </c>
      <c r="I741" t="s">
        <v>39</v>
      </c>
      <c r="J741"/>
      <c r="K741">
        <v>254.24</v>
      </c>
      <c r="L741">
        <v>0.0</v>
      </c>
      <c r="M741"/>
      <c r="N741"/>
      <c r="O741">
        <v>45.76</v>
      </c>
      <c r="P741">
        <v>0.0</v>
      </c>
      <c r="Q741">
        <v>300.0</v>
      </c>
      <c r="R741"/>
      <c r="S741"/>
      <c r="T741"/>
      <c r="U741"/>
      <c r="V741"/>
      <c r="W741">
        <v>18</v>
      </c>
    </row>
    <row r="742" spans="1:23">
      <c r="A742"/>
      <c r="B742" t="s">
        <v>77</v>
      </c>
      <c r="C742" t="s">
        <v>77</v>
      </c>
      <c r="D742" t="s">
        <v>37</v>
      </c>
      <c r="E742" t="s">
        <v>38</v>
      </c>
      <c r="F742" t="str">
        <f>"0000848"</f>
        <v>0000848</v>
      </c>
      <c r="G742">
        <v>1</v>
      </c>
      <c r="H742" t="str">
        <f>"00000000"</f>
        <v>00000000</v>
      </c>
      <c r="I742" t="s">
        <v>39</v>
      </c>
      <c r="J742"/>
      <c r="K742">
        <v>338.98</v>
      </c>
      <c r="L742">
        <v>0.0</v>
      </c>
      <c r="M742"/>
      <c r="N742"/>
      <c r="O742">
        <v>61.02</v>
      </c>
      <c r="P742">
        <v>0.0</v>
      </c>
      <c r="Q742">
        <v>400.0</v>
      </c>
      <c r="R742"/>
      <c r="S742"/>
      <c r="T742"/>
      <c r="U742"/>
      <c r="V742"/>
      <c r="W742">
        <v>18</v>
      </c>
    </row>
    <row r="743" spans="1:23">
      <c r="A743"/>
      <c r="B743" t="s">
        <v>77</v>
      </c>
      <c r="C743" t="s">
        <v>77</v>
      </c>
      <c r="D743" t="s">
        <v>37</v>
      </c>
      <c r="E743" t="s">
        <v>38</v>
      </c>
      <c r="F743" t="str">
        <f>"0000849"</f>
        <v>0000849</v>
      </c>
      <c r="G743">
        <v>1</v>
      </c>
      <c r="H743" t="str">
        <f>"00000000"</f>
        <v>00000000</v>
      </c>
      <c r="I743" t="s">
        <v>39</v>
      </c>
      <c r="J743"/>
      <c r="K743">
        <v>338.98</v>
      </c>
      <c r="L743">
        <v>0.0</v>
      </c>
      <c r="M743"/>
      <c r="N743"/>
      <c r="O743">
        <v>61.02</v>
      </c>
      <c r="P743">
        <v>0.0</v>
      </c>
      <c r="Q743">
        <v>400.0</v>
      </c>
      <c r="R743"/>
      <c r="S743"/>
      <c r="T743"/>
      <c r="U743"/>
      <c r="V743"/>
      <c r="W743">
        <v>18</v>
      </c>
    </row>
    <row r="744" spans="1:23">
      <c r="A744"/>
      <c r="B744" t="s">
        <v>78</v>
      </c>
      <c r="C744" t="s">
        <v>78</v>
      </c>
      <c r="D744" t="s">
        <v>37</v>
      </c>
      <c r="E744" t="s">
        <v>38</v>
      </c>
      <c r="F744" t="str">
        <f>"0000850"</f>
        <v>0000850</v>
      </c>
      <c r="G744">
        <v>1</v>
      </c>
      <c r="H744" t="str">
        <f>"00000000"</f>
        <v>00000000</v>
      </c>
      <c r="I744" t="s">
        <v>39</v>
      </c>
      <c r="J744"/>
      <c r="K744">
        <v>355.93</v>
      </c>
      <c r="L744">
        <v>0.0</v>
      </c>
      <c r="M744"/>
      <c r="N744"/>
      <c r="O744">
        <v>64.07</v>
      </c>
      <c r="P744">
        <v>0.0</v>
      </c>
      <c r="Q744">
        <v>420.0</v>
      </c>
      <c r="R744"/>
      <c r="S744"/>
      <c r="T744"/>
      <c r="U744"/>
      <c r="V744"/>
      <c r="W744">
        <v>18</v>
      </c>
    </row>
    <row r="745" spans="1:23">
      <c r="A745"/>
      <c r="B745" t="s">
        <v>78</v>
      </c>
      <c r="C745" t="s">
        <v>78</v>
      </c>
      <c r="D745" t="s">
        <v>37</v>
      </c>
      <c r="E745" t="s">
        <v>38</v>
      </c>
      <c r="F745" t="str">
        <f>"0000851"</f>
        <v>0000851</v>
      </c>
      <c r="G745">
        <v>1</v>
      </c>
      <c r="H745" t="str">
        <f>"00000000"</f>
        <v>00000000</v>
      </c>
      <c r="I745" t="s">
        <v>39</v>
      </c>
      <c r="J745"/>
      <c r="K745">
        <v>372.88</v>
      </c>
      <c r="L745">
        <v>0.0</v>
      </c>
      <c r="M745"/>
      <c r="N745"/>
      <c r="O745">
        <v>67.12</v>
      </c>
      <c r="P745">
        <v>0.0</v>
      </c>
      <c r="Q745">
        <v>440.0</v>
      </c>
      <c r="R745"/>
      <c r="S745"/>
      <c r="T745"/>
      <c r="U745"/>
      <c r="V745"/>
      <c r="W745">
        <v>18</v>
      </c>
    </row>
    <row r="746" spans="1:23">
      <c r="A746"/>
      <c r="B746" t="s">
        <v>78</v>
      </c>
      <c r="C746" t="s">
        <v>78</v>
      </c>
      <c r="D746" t="s">
        <v>37</v>
      </c>
      <c r="E746" t="s">
        <v>38</v>
      </c>
      <c r="F746" t="str">
        <f>"0000852"</f>
        <v>0000852</v>
      </c>
      <c r="G746">
        <v>1</v>
      </c>
      <c r="H746" t="str">
        <f>"00000000"</f>
        <v>00000000</v>
      </c>
      <c r="I746" t="s">
        <v>39</v>
      </c>
      <c r="J746"/>
      <c r="K746">
        <v>254.24</v>
      </c>
      <c r="L746">
        <v>0.0</v>
      </c>
      <c r="M746"/>
      <c r="N746"/>
      <c r="O746">
        <v>45.76</v>
      </c>
      <c r="P746">
        <v>0.0</v>
      </c>
      <c r="Q746">
        <v>300.0</v>
      </c>
      <c r="R746"/>
      <c r="S746"/>
      <c r="T746"/>
      <c r="U746"/>
      <c r="V746"/>
      <c r="W746">
        <v>18</v>
      </c>
    </row>
    <row r="747" spans="1:23">
      <c r="A747"/>
      <c r="B747" t="s">
        <v>78</v>
      </c>
      <c r="C747" t="s">
        <v>78</v>
      </c>
      <c r="D747" t="s">
        <v>37</v>
      </c>
      <c r="E747" t="s">
        <v>38</v>
      </c>
      <c r="F747" t="str">
        <f>"0000853"</f>
        <v>0000853</v>
      </c>
      <c r="G747">
        <v>1</v>
      </c>
      <c r="H747" t="str">
        <f>"00000000"</f>
        <v>00000000</v>
      </c>
      <c r="I747" t="s">
        <v>39</v>
      </c>
      <c r="J747"/>
      <c r="K747">
        <v>338.98</v>
      </c>
      <c r="L747">
        <v>0.0</v>
      </c>
      <c r="M747"/>
      <c r="N747"/>
      <c r="O747">
        <v>61.02</v>
      </c>
      <c r="P747">
        <v>0.0</v>
      </c>
      <c r="Q747">
        <v>400.0</v>
      </c>
      <c r="R747"/>
      <c r="S747"/>
      <c r="T747"/>
      <c r="U747"/>
      <c r="V747"/>
      <c r="W747">
        <v>18</v>
      </c>
    </row>
    <row r="748" spans="1:23">
      <c r="A748"/>
      <c r="B748" t="s">
        <v>78</v>
      </c>
      <c r="C748" t="s">
        <v>78</v>
      </c>
      <c r="D748" t="s">
        <v>37</v>
      </c>
      <c r="E748" t="s">
        <v>38</v>
      </c>
      <c r="F748" t="str">
        <f>"0000854"</f>
        <v>0000854</v>
      </c>
      <c r="G748">
        <v>1</v>
      </c>
      <c r="H748" t="str">
        <f>"00000000"</f>
        <v>00000000</v>
      </c>
      <c r="I748" t="s">
        <v>39</v>
      </c>
      <c r="J748"/>
      <c r="K748">
        <v>338.98</v>
      </c>
      <c r="L748">
        <v>0.0</v>
      </c>
      <c r="M748"/>
      <c r="N748"/>
      <c r="O748">
        <v>61.02</v>
      </c>
      <c r="P748">
        <v>0.0</v>
      </c>
      <c r="Q748">
        <v>400.0</v>
      </c>
      <c r="R748"/>
      <c r="S748"/>
      <c r="T748"/>
      <c r="U748"/>
      <c r="V748"/>
      <c r="W748">
        <v>18</v>
      </c>
    </row>
    <row r="749" spans="1:23">
      <c r="A749"/>
      <c r="B749" t="s">
        <v>78</v>
      </c>
      <c r="C749" t="s">
        <v>78</v>
      </c>
      <c r="D749" t="s">
        <v>37</v>
      </c>
      <c r="E749" t="s">
        <v>38</v>
      </c>
      <c r="F749" t="str">
        <f>"0000855"</f>
        <v>0000855</v>
      </c>
      <c r="G749">
        <v>1</v>
      </c>
      <c r="H749" t="str">
        <f>"00000000"</f>
        <v>00000000</v>
      </c>
      <c r="I749" t="s">
        <v>39</v>
      </c>
      <c r="J749"/>
      <c r="K749">
        <v>355.93</v>
      </c>
      <c r="L749">
        <v>0.0</v>
      </c>
      <c r="M749"/>
      <c r="N749"/>
      <c r="O749">
        <v>64.07</v>
      </c>
      <c r="P749">
        <v>0.0</v>
      </c>
      <c r="Q749">
        <v>420.0</v>
      </c>
      <c r="R749"/>
      <c r="S749"/>
      <c r="T749"/>
      <c r="U749"/>
      <c r="V749"/>
      <c r="W749">
        <v>18</v>
      </c>
    </row>
    <row r="750" spans="1:23">
      <c r="A750"/>
      <c r="B750" t="s">
        <v>78</v>
      </c>
      <c r="C750" t="s">
        <v>78</v>
      </c>
      <c r="D750" t="s">
        <v>37</v>
      </c>
      <c r="E750" t="s">
        <v>38</v>
      </c>
      <c r="F750" t="str">
        <f>"0000856"</f>
        <v>0000856</v>
      </c>
      <c r="G750">
        <v>1</v>
      </c>
      <c r="H750" t="str">
        <f>"00000000"</f>
        <v>00000000</v>
      </c>
      <c r="I750" t="s">
        <v>39</v>
      </c>
      <c r="J750"/>
      <c r="K750">
        <v>305.08</v>
      </c>
      <c r="L750">
        <v>0.0</v>
      </c>
      <c r="M750"/>
      <c r="N750"/>
      <c r="O750">
        <v>54.92</v>
      </c>
      <c r="P750">
        <v>0.0</v>
      </c>
      <c r="Q750">
        <v>360.0</v>
      </c>
      <c r="R750"/>
      <c r="S750"/>
      <c r="T750"/>
      <c r="U750"/>
      <c r="V750"/>
      <c r="W750">
        <v>18</v>
      </c>
    </row>
    <row r="751" spans="1:23">
      <c r="A751"/>
      <c r="B751" t="s">
        <v>78</v>
      </c>
      <c r="C751" t="s">
        <v>78</v>
      </c>
      <c r="D751" t="s">
        <v>37</v>
      </c>
      <c r="E751" t="s">
        <v>38</v>
      </c>
      <c r="F751" t="str">
        <f>"0000857"</f>
        <v>0000857</v>
      </c>
      <c r="G751">
        <v>1</v>
      </c>
      <c r="H751" t="str">
        <f>"00000000"</f>
        <v>00000000</v>
      </c>
      <c r="I751" t="s">
        <v>39</v>
      </c>
      <c r="J751"/>
      <c r="K751">
        <v>254.24</v>
      </c>
      <c r="L751">
        <v>0.0</v>
      </c>
      <c r="M751"/>
      <c r="N751"/>
      <c r="O751">
        <v>45.76</v>
      </c>
      <c r="P751">
        <v>0.0</v>
      </c>
      <c r="Q751">
        <v>300.0</v>
      </c>
      <c r="R751"/>
      <c r="S751"/>
      <c r="T751"/>
      <c r="U751"/>
      <c r="V751"/>
      <c r="W751">
        <v>18</v>
      </c>
    </row>
    <row r="752" spans="1:23">
      <c r="A752"/>
      <c r="B752" t="s">
        <v>78</v>
      </c>
      <c r="C752" t="s">
        <v>78</v>
      </c>
      <c r="D752" t="s">
        <v>37</v>
      </c>
      <c r="E752" t="s">
        <v>38</v>
      </c>
      <c r="F752" t="str">
        <f>"0000858"</f>
        <v>0000858</v>
      </c>
      <c r="G752">
        <v>1</v>
      </c>
      <c r="H752" t="str">
        <f>"00000000"</f>
        <v>00000000</v>
      </c>
      <c r="I752" t="s">
        <v>39</v>
      </c>
      <c r="J752"/>
      <c r="K752">
        <v>406.78</v>
      </c>
      <c r="L752">
        <v>0.0</v>
      </c>
      <c r="M752"/>
      <c r="N752"/>
      <c r="O752">
        <v>73.22</v>
      </c>
      <c r="P752">
        <v>0.0</v>
      </c>
      <c r="Q752">
        <v>480.0</v>
      </c>
      <c r="R752"/>
      <c r="S752"/>
      <c r="T752"/>
      <c r="U752"/>
      <c r="V752"/>
      <c r="W752">
        <v>18</v>
      </c>
    </row>
    <row r="753" spans="1:23">
      <c r="A753"/>
      <c r="B753" t="s">
        <v>78</v>
      </c>
      <c r="C753" t="s">
        <v>78</v>
      </c>
      <c r="D753" t="s">
        <v>37</v>
      </c>
      <c r="E753" t="s">
        <v>38</v>
      </c>
      <c r="F753" t="str">
        <f>"0000859"</f>
        <v>0000859</v>
      </c>
      <c r="G753">
        <v>1</v>
      </c>
      <c r="H753" t="str">
        <f>"00000000"</f>
        <v>00000000</v>
      </c>
      <c r="I753" t="s">
        <v>39</v>
      </c>
      <c r="J753"/>
      <c r="K753">
        <v>330.51</v>
      </c>
      <c r="L753">
        <v>0.0</v>
      </c>
      <c r="M753"/>
      <c r="N753"/>
      <c r="O753">
        <v>59.49</v>
      </c>
      <c r="P753">
        <v>0.0</v>
      </c>
      <c r="Q753">
        <v>390.0</v>
      </c>
      <c r="R753"/>
      <c r="S753"/>
      <c r="T753"/>
      <c r="U753"/>
      <c r="V753"/>
      <c r="W753">
        <v>18</v>
      </c>
    </row>
    <row r="754" spans="1:23">
      <c r="A754"/>
      <c r="B754" t="s">
        <v>78</v>
      </c>
      <c r="C754" t="s">
        <v>78</v>
      </c>
      <c r="D754" t="s">
        <v>37</v>
      </c>
      <c r="E754" t="s">
        <v>38</v>
      </c>
      <c r="F754" t="str">
        <f>"0000860"</f>
        <v>0000860</v>
      </c>
      <c r="G754">
        <v>1</v>
      </c>
      <c r="H754" t="str">
        <f>"00000000"</f>
        <v>00000000</v>
      </c>
      <c r="I754" t="s">
        <v>39</v>
      </c>
      <c r="J754"/>
      <c r="K754">
        <v>406.78</v>
      </c>
      <c r="L754">
        <v>0.0</v>
      </c>
      <c r="M754"/>
      <c r="N754"/>
      <c r="O754">
        <v>73.22</v>
      </c>
      <c r="P754">
        <v>0.0</v>
      </c>
      <c r="Q754">
        <v>480.0</v>
      </c>
      <c r="R754"/>
      <c r="S754"/>
      <c r="T754"/>
      <c r="U754"/>
      <c r="V754"/>
      <c r="W754">
        <v>18</v>
      </c>
    </row>
    <row r="755" spans="1:23">
      <c r="A755"/>
      <c r="B755" t="s">
        <v>78</v>
      </c>
      <c r="C755" t="s">
        <v>78</v>
      </c>
      <c r="D755" t="s">
        <v>37</v>
      </c>
      <c r="E755" t="s">
        <v>38</v>
      </c>
      <c r="F755" t="str">
        <f>"0000861"</f>
        <v>0000861</v>
      </c>
      <c r="G755">
        <v>1</v>
      </c>
      <c r="H755" t="str">
        <f>"00000000"</f>
        <v>00000000</v>
      </c>
      <c r="I755" t="s">
        <v>39</v>
      </c>
      <c r="J755"/>
      <c r="K755">
        <v>381.36</v>
      </c>
      <c r="L755">
        <v>0.0</v>
      </c>
      <c r="M755"/>
      <c r="N755"/>
      <c r="O755">
        <v>68.64</v>
      </c>
      <c r="P755">
        <v>0.0</v>
      </c>
      <c r="Q755">
        <v>450.0</v>
      </c>
      <c r="R755"/>
      <c r="S755"/>
      <c r="T755"/>
      <c r="U755"/>
      <c r="V755"/>
      <c r="W755">
        <v>18</v>
      </c>
    </row>
    <row r="756" spans="1:23">
      <c r="A756"/>
      <c r="B756" t="s">
        <v>78</v>
      </c>
      <c r="C756" t="s">
        <v>78</v>
      </c>
      <c r="D756" t="s">
        <v>37</v>
      </c>
      <c r="E756" t="s">
        <v>38</v>
      </c>
      <c r="F756" t="str">
        <f>"0000862"</f>
        <v>0000862</v>
      </c>
      <c r="G756">
        <v>1</v>
      </c>
      <c r="H756" t="str">
        <f>"00000000"</f>
        <v>00000000</v>
      </c>
      <c r="I756" t="s">
        <v>39</v>
      </c>
      <c r="J756"/>
      <c r="K756">
        <v>355.93</v>
      </c>
      <c r="L756">
        <v>0.0</v>
      </c>
      <c r="M756"/>
      <c r="N756"/>
      <c r="O756">
        <v>64.07</v>
      </c>
      <c r="P756">
        <v>0.0</v>
      </c>
      <c r="Q756">
        <v>420.0</v>
      </c>
      <c r="R756"/>
      <c r="S756"/>
      <c r="T756"/>
      <c r="U756"/>
      <c r="V756"/>
      <c r="W756">
        <v>18</v>
      </c>
    </row>
    <row r="757" spans="1:23">
      <c r="A757"/>
      <c r="B757" t="s">
        <v>78</v>
      </c>
      <c r="C757" t="s">
        <v>78</v>
      </c>
      <c r="D757" t="s">
        <v>37</v>
      </c>
      <c r="E757" t="s">
        <v>38</v>
      </c>
      <c r="F757" t="str">
        <f>"0000863"</f>
        <v>0000863</v>
      </c>
      <c r="G757">
        <v>1</v>
      </c>
      <c r="H757" t="str">
        <f>"00000000"</f>
        <v>00000000</v>
      </c>
      <c r="I757" t="s">
        <v>39</v>
      </c>
      <c r="J757"/>
      <c r="K757">
        <v>330.51</v>
      </c>
      <c r="L757">
        <v>0.0</v>
      </c>
      <c r="M757"/>
      <c r="N757"/>
      <c r="O757">
        <v>59.49</v>
      </c>
      <c r="P757">
        <v>0.0</v>
      </c>
      <c r="Q757">
        <v>390.0</v>
      </c>
      <c r="R757"/>
      <c r="S757"/>
      <c r="T757"/>
      <c r="U757"/>
      <c r="V757"/>
      <c r="W757">
        <v>18</v>
      </c>
    </row>
    <row r="758" spans="1:23">
      <c r="A758"/>
      <c r="B758" t="s">
        <v>78</v>
      </c>
      <c r="C758" t="s">
        <v>78</v>
      </c>
      <c r="D758" t="s">
        <v>37</v>
      </c>
      <c r="E758" t="s">
        <v>38</v>
      </c>
      <c r="F758" t="str">
        <f>"0000864"</f>
        <v>0000864</v>
      </c>
      <c r="G758">
        <v>1</v>
      </c>
      <c r="H758" t="str">
        <f>"00000000"</f>
        <v>00000000</v>
      </c>
      <c r="I758" t="s">
        <v>39</v>
      </c>
      <c r="J758"/>
      <c r="K758">
        <v>355.93</v>
      </c>
      <c r="L758">
        <v>0.0</v>
      </c>
      <c r="M758"/>
      <c r="N758"/>
      <c r="O758">
        <v>64.07</v>
      </c>
      <c r="P758">
        <v>0.0</v>
      </c>
      <c r="Q758">
        <v>420.0</v>
      </c>
      <c r="R758"/>
      <c r="S758"/>
      <c r="T758"/>
      <c r="U758"/>
      <c r="V758"/>
      <c r="W758">
        <v>18</v>
      </c>
    </row>
    <row r="759" spans="1:23">
      <c r="A759"/>
      <c r="B759" t="s">
        <v>78</v>
      </c>
      <c r="C759" t="s">
        <v>78</v>
      </c>
      <c r="D759" t="s">
        <v>37</v>
      </c>
      <c r="E759" t="s">
        <v>38</v>
      </c>
      <c r="F759" t="str">
        <f>"0000865"</f>
        <v>0000865</v>
      </c>
      <c r="G759">
        <v>1</v>
      </c>
      <c r="H759" t="str">
        <f>"00000000"</f>
        <v>00000000</v>
      </c>
      <c r="I759" t="s">
        <v>39</v>
      </c>
      <c r="J759"/>
      <c r="K759">
        <v>406.78</v>
      </c>
      <c r="L759">
        <v>0.0</v>
      </c>
      <c r="M759"/>
      <c r="N759"/>
      <c r="O759">
        <v>73.22</v>
      </c>
      <c r="P759">
        <v>0.0</v>
      </c>
      <c r="Q759">
        <v>480.0</v>
      </c>
      <c r="R759"/>
      <c r="S759"/>
      <c r="T759"/>
      <c r="U759"/>
      <c r="V759"/>
      <c r="W759">
        <v>18</v>
      </c>
    </row>
    <row r="760" spans="1:23">
      <c r="A760"/>
      <c r="B760" t="s">
        <v>78</v>
      </c>
      <c r="C760" t="s">
        <v>78</v>
      </c>
      <c r="D760" t="s">
        <v>37</v>
      </c>
      <c r="E760" t="s">
        <v>38</v>
      </c>
      <c r="F760" t="str">
        <f>"0000866"</f>
        <v>0000866</v>
      </c>
      <c r="G760">
        <v>1</v>
      </c>
      <c r="H760" t="str">
        <f>"00000000"</f>
        <v>00000000</v>
      </c>
      <c r="I760" t="s">
        <v>39</v>
      </c>
      <c r="J760"/>
      <c r="K760">
        <v>381.36</v>
      </c>
      <c r="L760">
        <v>0.0</v>
      </c>
      <c r="M760"/>
      <c r="N760"/>
      <c r="O760">
        <v>68.64</v>
      </c>
      <c r="P760">
        <v>0.0</v>
      </c>
      <c r="Q760">
        <v>450.0</v>
      </c>
      <c r="R760"/>
      <c r="S760"/>
      <c r="T760"/>
      <c r="U760"/>
      <c r="V760"/>
      <c r="W760">
        <v>18</v>
      </c>
    </row>
    <row r="761" spans="1:23">
      <c r="A761"/>
      <c r="B761" t="s">
        <v>78</v>
      </c>
      <c r="C761" t="s">
        <v>78</v>
      </c>
      <c r="D761" t="s">
        <v>37</v>
      </c>
      <c r="E761" t="s">
        <v>38</v>
      </c>
      <c r="F761" t="str">
        <f>"0000867"</f>
        <v>0000867</v>
      </c>
      <c r="G761">
        <v>1</v>
      </c>
      <c r="H761" t="str">
        <f>"00000000"</f>
        <v>00000000</v>
      </c>
      <c r="I761" t="s">
        <v>39</v>
      </c>
      <c r="J761"/>
      <c r="K761">
        <v>381.36</v>
      </c>
      <c r="L761">
        <v>0.0</v>
      </c>
      <c r="M761"/>
      <c r="N761"/>
      <c r="O761">
        <v>68.64</v>
      </c>
      <c r="P761">
        <v>0.0</v>
      </c>
      <c r="Q761">
        <v>450.0</v>
      </c>
      <c r="R761"/>
      <c r="S761"/>
      <c r="T761"/>
      <c r="U761"/>
      <c r="V761"/>
      <c r="W761">
        <v>18</v>
      </c>
    </row>
    <row r="762" spans="1:23">
      <c r="A762"/>
      <c r="B762" t="s">
        <v>78</v>
      </c>
      <c r="C762" t="s">
        <v>78</v>
      </c>
      <c r="D762" t="s">
        <v>37</v>
      </c>
      <c r="E762" t="s">
        <v>38</v>
      </c>
      <c r="F762" t="str">
        <f>"0000868"</f>
        <v>0000868</v>
      </c>
      <c r="G762">
        <v>1</v>
      </c>
      <c r="H762" t="str">
        <f>"00000000"</f>
        <v>00000000</v>
      </c>
      <c r="I762" t="s">
        <v>39</v>
      </c>
      <c r="J762"/>
      <c r="K762">
        <v>296.61</v>
      </c>
      <c r="L762">
        <v>0.0</v>
      </c>
      <c r="M762"/>
      <c r="N762"/>
      <c r="O762">
        <v>53.39</v>
      </c>
      <c r="P762">
        <v>0.0</v>
      </c>
      <c r="Q762">
        <v>350.0</v>
      </c>
      <c r="R762"/>
      <c r="S762"/>
      <c r="T762"/>
      <c r="U762"/>
      <c r="V762"/>
      <c r="W762">
        <v>18</v>
      </c>
    </row>
    <row r="763" spans="1:23">
      <c r="A763"/>
      <c r="B763" t="s">
        <v>78</v>
      </c>
      <c r="C763" t="s">
        <v>78</v>
      </c>
      <c r="D763" t="s">
        <v>37</v>
      </c>
      <c r="E763" t="s">
        <v>38</v>
      </c>
      <c r="F763" t="str">
        <f>"0000869"</f>
        <v>0000869</v>
      </c>
      <c r="G763">
        <v>1</v>
      </c>
      <c r="H763" t="str">
        <f>"00000000"</f>
        <v>00000000</v>
      </c>
      <c r="I763" t="s">
        <v>39</v>
      </c>
      <c r="J763"/>
      <c r="K763">
        <v>296.61</v>
      </c>
      <c r="L763">
        <v>0.0</v>
      </c>
      <c r="M763"/>
      <c r="N763"/>
      <c r="O763">
        <v>53.39</v>
      </c>
      <c r="P763">
        <v>0.0</v>
      </c>
      <c r="Q763">
        <v>350.0</v>
      </c>
      <c r="R763"/>
      <c r="S763"/>
      <c r="T763"/>
      <c r="U763"/>
      <c r="V763"/>
      <c r="W763">
        <v>18</v>
      </c>
    </row>
    <row r="764" spans="1:23">
      <c r="A764"/>
      <c r="B764" t="s">
        <v>78</v>
      </c>
      <c r="C764" t="s">
        <v>78</v>
      </c>
      <c r="D764" t="s">
        <v>37</v>
      </c>
      <c r="E764" t="s">
        <v>38</v>
      </c>
      <c r="F764" t="str">
        <f>"0000870"</f>
        <v>0000870</v>
      </c>
      <c r="G764">
        <v>1</v>
      </c>
      <c r="H764" t="str">
        <f>"00000000"</f>
        <v>00000000</v>
      </c>
      <c r="I764" t="s">
        <v>39</v>
      </c>
      <c r="J764"/>
      <c r="K764">
        <v>296.61</v>
      </c>
      <c r="L764">
        <v>0.0</v>
      </c>
      <c r="M764"/>
      <c r="N764"/>
      <c r="O764">
        <v>53.39</v>
      </c>
      <c r="P764">
        <v>0.0</v>
      </c>
      <c r="Q764">
        <v>350.0</v>
      </c>
      <c r="R764"/>
      <c r="S764"/>
      <c r="T764"/>
      <c r="U764"/>
      <c r="V764"/>
      <c r="W764">
        <v>18</v>
      </c>
    </row>
    <row r="765" spans="1:23">
      <c r="A765"/>
      <c r="B765" t="s">
        <v>78</v>
      </c>
      <c r="C765" t="s">
        <v>78</v>
      </c>
      <c r="D765" t="s">
        <v>37</v>
      </c>
      <c r="E765" t="s">
        <v>38</v>
      </c>
      <c r="F765" t="str">
        <f>"0000871"</f>
        <v>0000871</v>
      </c>
      <c r="G765">
        <v>1</v>
      </c>
      <c r="H765" t="str">
        <f>"00000000"</f>
        <v>00000000</v>
      </c>
      <c r="I765" t="s">
        <v>39</v>
      </c>
      <c r="J765"/>
      <c r="K765">
        <v>389.83</v>
      </c>
      <c r="L765">
        <v>0.0</v>
      </c>
      <c r="M765"/>
      <c r="N765"/>
      <c r="O765">
        <v>70.17</v>
      </c>
      <c r="P765">
        <v>0.0</v>
      </c>
      <c r="Q765">
        <v>460.0</v>
      </c>
      <c r="R765"/>
      <c r="S765"/>
      <c r="T765"/>
      <c r="U765"/>
      <c r="V765"/>
      <c r="W765">
        <v>18</v>
      </c>
    </row>
    <row r="766" spans="1:23">
      <c r="A766"/>
      <c r="B766" t="s">
        <v>78</v>
      </c>
      <c r="C766" t="s">
        <v>78</v>
      </c>
      <c r="D766" t="s">
        <v>37</v>
      </c>
      <c r="E766" t="s">
        <v>38</v>
      </c>
      <c r="F766" t="str">
        <f>"0000872"</f>
        <v>0000872</v>
      </c>
      <c r="G766">
        <v>1</v>
      </c>
      <c r="H766" t="str">
        <f>"00000000"</f>
        <v>00000000</v>
      </c>
      <c r="I766" t="s">
        <v>39</v>
      </c>
      <c r="J766"/>
      <c r="K766">
        <v>372.88</v>
      </c>
      <c r="L766">
        <v>0.0</v>
      </c>
      <c r="M766"/>
      <c r="N766"/>
      <c r="O766">
        <v>67.12</v>
      </c>
      <c r="P766">
        <v>0.0</v>
      </c>
      <c r="Q766">
        <v>440.0</v>
      </c>
      <c r="R766"/>
      <c r="S766"/>
      <c r="T766"/>
      <c r="U766"/>
      <c r="V766"/>
      <c r="W766">
        <v>18</v>
      </c>
    </row>
    <row r="767" spans="1:23">
      <c r="A767"/>
      <c r="B767" t="s">
        <v>78</v>
      </c>
      <c r="C767" t="s">
        <v>78</v>
      </c>
      <c r="D767" t="s">
        <v>37</v>
      </c>
      <c r="E767" t="s">
        <v>38</v>
      </c>
      <c r="F767" t="str">
        <f>"0000873"</f>
        <v>0000873</v>
      </c>
      <c r="G767">
        <v>1</v>
      </c>
      <c r="H767" t="str">
        <f>"00000000"</f>
        <v>00000000</v>
      </c>
      <c r="I767" t="s">
        <v>39</v>
      </c>
      <c r="J767"/>
      <c r="K767">
        <v>296.61</v>
      </c>
      <c r="L767">
        <v>0.0</v>
      </c>
      <c r="M767"/>
      <c r="N767"/>
      <c r="O767">
        <v>53.39</v>
      </c>
      <c r="P767">
        <v>0.0</v>
      </c>
      <c r="Q767">
        <v>350.0</v>
      </c>
      <c r="R767"/>
      <c r="S767"/>
      <c r="T767"/>
      <c r="U767"/>
      <c r="V767"/>
      <c r="W767">
        <v>18</v>
      </c>
    </row>
    <row r="768" spans="1:23">
      <c r="A768"/>
      <c r="B768" t="s">
        <v>78</v>
      </c>
      <c r="C768" t="s">
        <v>78</v>
      </c>
      <c r="D768" t="s">
        <v>37</v>
      </c>
      <c r="E768" t="s">
        <v>38</v>
      </c>
      <c r="F768" t="str">
        <f>"0000874"</f>
        <v>0000874</v>
      </c>
      <c r="G768">
        <v>1</v>
      </c>
      <c r="H768" t="str">
        <f>"00000000"</f>
        <v>00000000</v>
      </c>
      <c r="I768" t="s">
        <v>39</v>
      </c>
      <c r="J768"/>
      <c r="K768">
        <v>305.08</v>
      </c>
      <c r="L768">
        <v>0.0</v>
      </c>
      <c r="M768"/>
      <c r="N768"/>
      <c r="O768">
        <v>54.92</v>
      </c>
      <c r="P768">
        <v>0.0</v>
      </c>
      <c r="Q768">
        <v>360.0</v>
      </c>
      <c r="R768"/>
      <c r="S768"/>
      <c r="T768"/>
      <c r="U768"/>
      <c r="V768"/>
      <c r="W768">
        <v>18</v>
      </c>
    </row>
    <row r="769" spans="1:23">
      <c r="A769"/>
      <c r="B769" t="s">
        <v>79</v>
      </c>
      <c r="C769" t="s">
        <v>79</v>
      </c>
      <c r="D769" t="s">
        <v>37</v>
      </c>
      <c r="E769" t="s">
        <v>38</v>
      </c>
      <c r="F769" t="str">
        <f>"0000875"</f>
        <v>0000875</v>
      </c>
      <c r="G769">
        <v>1</v>
      </c>
      <c r="H769" t="str">
        <f>"00000000"</f>
        <v>00000000</v>
      </c>
      <c r="I769" t="s">
        <v>39</v>
      </c>
      <c r="J769"/>
      <c r="K769">
        <v>254.24</v>
      </c>
      <c r="L769">
        <v>0.0</v>
      </c>
      <c r="M769"/>
      <c r="N769"/>
      <c r="O769">
        <v>45.76</v>
      </c>
      <c r="P769">
        <v>0.0</v>
      </c>
      <c r="Q769">
        <v>300.0</v>
      </c>
      <c r="R769"/>
      <c r="S769"/>
      <c r="T769"/>
      <c r="U769"/>
      <c r="V769"/>
      <c r="W769">
        <v>18</v>
      </c>
    </row>
    <row r="770" spans="1:23">
      <c r="A770"/>
      <c r="B770" t="s">
        <v>79</v>
      </c>
      <c r="C770" t="s">
        <v>79</v>
      </c>
      <c r="D770" t="s">
        <v>37</v>
      </c>
      <c r="E770" t="s">
        <v>38</v>
      </c>
      <c r="F770" t="str">
        <f>"0000876"</f>
        <v>0000876</v>
      </c>
      <c r="G770">
        <v>1</v>
      </c>
      <c r="H770" t="str">
        <f>"00000000"</f>
        <v>00000000</v>
      </c>
      <c r="I770" t="s">
        <v>39</v>
      </c>
      <c r="J770"/>
      <c r="K770">
        <v>254.24</v>
      </c>
      <c r="L770">
        <v>0.0</v>
      </c>
      <c r="M770"/>
      <c r="N770"/>
      <c r="O770">
        <v>45.76</v>
      </c>
      <c r="P770">
        <v>0.0</v>
      </c>
      <c r="Q770">
        <v>300.0</v>
      </c>
      <c r="R770"/>
      <c r="S770"/>
      <c r="T770"/>
      <c r="U770"/>
      <c r="V770"/>
      <c r="W770">
        <v>18</v>
      </c>
    </row>
    <row r="771" spans="1:23">
      <c r="A771"/>
      <c r="B771" t="s">
        <v>79</v>
      </c>
      <c r="C771" t="s">
        <v>79</v>
      </c>
      <c r="D771" t="s">
        <v>37</v>
      </c>
      <c r="E771" t="s">
        <v>38</v>
      </c>
      <c r="F771" t="str">
        <f>"0000877"</f>
        <v>0000877</v>
      </c>
      <c r="G771">
        <v>1</v>
      </c>
      <c r="H771" t="str">
        <f>"00000000"</f>
        <v>00000000</v>
      </c>
      <c r="I771" t="s">
        <v>39</v>
      </c>
      <c r="J771"/>
      <c r="K771">
        <v>322.03</v>
      </c>
      <c r="L771">
        <v>0.0</v>
      </c>
      <c r="M771"/>
      <c r="N771"/>
      <c r="O771">
        <v>57.97</v>
      </c>
      <c r="P771">
        <v>0.0</v>
      </c>
      <c r="Q771">
        <v>380.0</v>
      </c>
      <c r="R771"/>
      <c r="S771"/>
      <c r="T771"/>
      <c r="U771"/>
      <c r="V771"/>
      <c r="W771">
        <v>18</v>
      </c>
    </row>
    <row r="772" spans="1:23">
      <c r="A772"/>
      <c r="B772" t="s">
        <v>79</v>
      </c>
      <c r="C772" t="s">
        <v>79</v>
      </c>
      <c r="D772" t="s">
        <v>37</v>
      </c>
      <c r="E772" t="s">
        <v>38</v>
      </c>
      <c r="F772" t="str">
        <f>"0000878"</f>
        <v>0000878</v>
      </c>
      <c r="G772">
        <v>1</v>
      </c>
      <c r="H772" t="str">
        <f>"00000000"</f>
        <v>00000000</v>
      </c>
      <c r="I772" t="s">
        <v>39</v>
      </c>
      <c r="J772"/>
      <c r="K772">
        <v>338.98</v>
      </c>
      <c r="L772">
        <v>0.0</v>
      </c>
      <c r="M772"/>
      <c r="N772"/>
      <c r="O772">
        <v>61.02</v>
      </c>
      <c r="P772">
        <v>0.0</v>
      </c>
      <c r="Q772">
        <v>400.0</v>
      </c>
      <c r="R772"/>
      <c r="S772"/>
      <c r="T772"/>
      <c r="U772"/>
      <c r="V772"/>
      <c r="W772">
        <v>18</v>
      </c>
    </row>
    <row r="773" spans="1:23">
      <c r="A773"/>
      <c r="B773" t="s">
        <v>79</v>
      </c>
      <c r="C773" t="s">
        <v>79</v>
      </c>
      <c r="D773" t="s">
        <v>37</v>
      </c>
      <c r="E773" t="s">
        <v>38</v>
      </c>
      <c r="F773" t="str">
        <f>"0000879"</f>
        <v>0000879</v>
      </c>
      <c r="G773">
        <v>1</v>
      </c>
      <c r="H773" t="str">
        <f>"00000000"</f>
        <v>00000000</v>
      </c>
      <c r="I773" t="s">
        <v>39</v>
      </c>
      <c r="J773"/>
      <c r="K773">
        <v>406.78</v>
      </c>
      <c r="L773">
        <v>0.0</v>
      </c>
      <c r="M773"/>
      <c r="N773"/>
      <c r="O773">
        <v>73.22</v>
      </c>
      <c r="P773">
        <v>0.0</v>
      </c>
      <c r="Q773">
        <v>480.0</v>
      </c>
      <c r="R773"/>
      <c r="S773"/>
      <c r="T773"/>
      <c r="U773"/>
      <c r="V773"/>
      <c r="W773">
        <v>18</v>
      </c>
    </row>
    <row r="774" spans="1:23">
      <c r="A774"/>
      <c r="B774" t="s">
        <v>79</v>
      </c>
      <c r="C774" t="s">
        <v>79</v>
      </c>
      <c r="D774" t="s">
        <v>37</v>
      </c>
      <c r="E774" t="s">
        <v>38</v>
      </c>
      <c r="F774" t="str">
        <f>"0000880"</f>
        <v>0000880</v>
      </c>
      <c r="G774">
        <v>1</v>
      </c>
      <c r="H774" t="str">
        <f>"00000000"</f>
        <v>00000000</v>
      </c>
      <c r="I774" t="s">
        <v>39</v>
      </c>
      <c r="J774"/>
      <c r="K774">
        <v>305.08</v>
      </c>
      <c r="L774">
        <v>0.0</v>
      </c>
      <c r="M774"/>
      <c r="N774"/>
      <c r="O774">
        <v>54.92</v>
      </c>
      <c r="P774">
        <v>0.0</v>
      </c>
      <c r="Q774">
        <v>360.0</v>
      </c>
      <c r="R774"/>
      <c r="S774"/>
      <c r="T774"/>
      <c r="U774"/>
      <c r="V774"/>
      <c r="W774">
        <v>18</v>
      </c>
    </row>
    <row r="775" spans="1:23">
      <c r="A775"/>
      <c r="B775" t="s">
        <v>79</v>
      </c>
      <c r="C775" t="s">
        <v>79</v>
      </c>
      <c r="D775" t="s">
        <v>37</v>
      </c>
      <c r="E775" t="s">
        <v>38</v>
      </c>
      <c r="F775" t="str">
        <f>"0000881"</f>
        <v>0000881</v>
      </c>
      <c r="G775">
        <v>1</v>
      </c>
      <c r="H775" t="str">
        <f>"00000000"</f>
        <v>00000000</v>
      </c>
      <c r="I775" t="s">
        <v>39</v>
      </c>
      <c r="J775"/>
      <c r="K775">
        <v>355.93</v>
      </c>
      <c r="L775">
        <v>0.0</v>
      </c>
      <c r="M775"/>
      <c r="N775"/>
      <c r="O775">
        <v>64.07</v>
      </c>
      <c r="P775">
        <v>0.0</v>
      </c>
      <c r="Q775">
        <v>420.0</v>
      </c>
      <c r="R775"/>
      <c r="S775"/>
      <c r="T775"/>
      <c r="U775"/>
      <c r="V775"/>
      <c r="W775">
        <v>18</v>
      </c>
    </row>
    <row r="776" spans="1:23">
      <c r="A776"/>
      <c r="B776" t="s">
        <v>79</v>
      </c>
      <c r="C776" t="s">
        <v>79</v>
      </c>
      <c r="D776" t="s">
        <v>37</v>
      </c>
      <c r="E776" t="s">
        <v>38</v>
      </c>
      <c r="F776" t="str">
        <f>"0000882"</f>
        <v>0000882</v>
      </c>
      <c r="G776">
        <v>1</v>
      </c>
      <c r="H776" t="str">
        <f>"00000000"</f>
        <v>00000000</v>
      </c>
      <c r="I776" t="s">
        <v>39</v>
      </c>
      <c r="J776"/>
      <c r="K776">
        <v>381.36</v>
      </c>
      <c r="L776">
        <v>0.0</v>
      </c>
      <c r="M776"/>
      <c r="N776"/>
      <c r="O776">
        <v>68.64</v>
      </c>
      <c r="P776">
        <v>0.0</v>
      </c>
      <c r="Q776">
        <v>450.0</v>
      </c>
      <c r="R776"/>
      <c r="S776"/>
      <c r="T776"/>
      <c r="U776"/>
      <c r="V776"/>
      <c r="W776">
        <v>18</v>
      </c>
    </row>
    <row r="777" spans="1:23">
      <c r="A777"/>
      <c r="B777" t="s">
        <v>79</v>
      </c>
      <c r="C777" t="s">
        <v>79</v>
      </c>
      <c r="D777" t="s">
        <v>37</v>
      </c>
      <c r="E777" t="s">
        <v>38</v>
      </c>
      <c r="F777" t="str">
        <f>"0000883"</f>
        <v>0000883</v>
      </c>
      <c r="G777">
        <v>1</v>
      </c>
      <c r="H777" t="str">
        <f>"00000000"</f>
        <v>00000000</v>
      </c>
      <c r="I777" t="s">
        <v>39</v>
      </c>
      <c r="J777"/>
      <c r="K777">
        <v>296.61</v>
      </c>
      <c r="L777">
        <v>0.0</v>
      </c>
      <c r="M777"/>
      <c r="N777"/>
      <c r="O777">
        <v>53.39</v>
      </c>
      <c r="P777">
        <v>0.0</v>
      </c>
      <c r="Q777">
        <v>350.0</v>
      </c>
      <c r="R777"/>
      <c r="S777"/>
      <c r="T777"/>
      <c r="U777"/>
      <c r="V777"/>
      <c r="W777">
        <v>18</v>
      </c>
    </row>
    <row r="778" spans="1:23">
      <c r="A778"/>
      <c r="B778" t="s">
        <v>79</v>
      </c>
      <c r="C778" t="s">
        <v>79</v>
      </c>
      <c r="D778" t="s">
        <v>37</v>
      </c>
      <c r="E778" t="s">
        <v>38</v>
      </c>
      <c r="F778" t="str">
        <f>"0000884"</f>
        <v>0000884</v>
      </c>
      <c r="G778">
        <v>1</v>
      </c>
      <c r="H778" t="str">
        <f>"00000000"</f>
        <v>00000000</v>
      </c>
      <c r="I778" t="s">
        <v>39</v>
      </c>
      <c r="J778"/>
      <c r="K778">
        <v>296.61</v>
      </c>
      <c r="L778">
        <v>0.0</v>
      </c>
      <c r="M778"/>
      <c r="N778"/>
      <c r="O778">
        <v>53.39</v>
      </c>
      <c r="P778">
        <v>0.0</v>
      </c>
      <c r="Q778">
        <v>350.0</v>
      </c>
      <c r="R778"/>
      <c r="S778"/>
      <c r="T778"/>
      <c r="U778"/>
      <c r="V778"/>
      <c r="W778">
        <v>18</v>
      </c>
    </row>
    <row r="779" spans="1:23">
      <c r="A779"/>
      <c r="B779" t="s">
        <v>79</v>
      </c>
      <c r="C779" t="s">
        <v>79</v>
      </c>
      <c r="D779" t="s">
        <v>37</v>
      </c>
      <c r="E779" t="s">
        <v>38</v>
      </c>
      <c r="F779" t="str">
        <f>"0000885"</f>
        <v>0000885</v>
      </c>
      <c r="G779">
        <v>1</v>
      </c>
      <c r="H779" t="str">
        <f>"00000000"</f>
        <v>00000000</v>
      </c>
      <c r="I779" t="s">
        <v>39</v>
      </c>
      <c r="J779"/>
      <c r="K779">
        <v>330.51</v>
      </c>
      <c r="L779">
        <v>0.0</v>
      </c>
      <c r="M779"/>
      <c r="N779"/>
      <c r="O779">
        <v>59.49</v>
      </c>
      <c r="P779">
        <v>0.0</v>
      </c>
      <c r="Q779">
        <v>390.0</v>
      </c>
      <c r="R779"/>
      <c r="S779"/>
      <c r="T779"/>
      <c r="U779"/>
      <c r="V779"/>
      <c r="W779">
        <v>18</v>
      </c>
    </row>
    <row r="780" spans="1:23">
      <c r="A780"/>
      <c r="B780" t="s">
        <v>79</v>
      </c>
      <c r="C780" t="s">
        <v>79</v>
      </c>
      <c r="D780" t="s">
        <v>37</v>
      </c>
      <c r="E780" t="s">
        <v>38</v>
      </c>
      <c r="F780" t="str">
        <f>"0000886"</f>
        <v>0000886</v>
      </c>
      <c r="G780">
        <v>1</v>
      </c>
      <c r="H780" t="str">
        <f>"00000000"</f>
        <v>00000000</v>
      </c>
      <c r="I780" t="s">
        <v>39</v>
      </c>
      <c r="J780"/>
      <c r="K780">
        <v>296.61</v>
      </c>
      <c r="L780">
        <v>0.0</v>
      </c>
      <c r="M780"/>
      <c r="N780"/>
      <c r="O780">
        <v>53.39</v>
      </c>
      <c r="P780">
        <v>0.0</v>
      </c>
      <c r="Q780">
        <v>350.0</v>
      </c>
      <c r="R780"/>
      <c r="S780"/>
      <c r="T780"/>
      <c r="U780"/>
      <c r="V780"/>
      <c r="W780">
        <v>18</v>
      </c>
    </row>
    <row r="781" spans="1:23">
      <c r="A781"/>
      <c r="B781" t="s">
        <v>79</v>
      </c>
      <c r="C781" t="s">
        <v>79</v>
      </c>
      <c r="D781" t="s">
        <v>37</v>
      </c>
      <c r="E781" t="s">
        <v>38</v>
      </c>
      <c r="F781" t="str">
        <f>"0000887"</f>
        <v>0000887</v>
      </c>
      <c r="G781">
        <v>1</v>
      </c>
      <c r="H781" t="str">
        <f>"00000000"</f>
        <v>00000000</v>
      </c>
      <c r="I781" t="s">
        <v>39</v>
      </c>
      <c r="J781"/>
      <c r="K781">
        <v>338.98</v>
      </c>
      <c r="L781">
        <v>0.0</v>
      </c>
      <c r="M781"/>
      <c r="N781"/>
      <c r="O781">
        <v>61.02</v>
      </c>
      <c r="P781">
        <v>0.0</v>
      </c>
      <c r="Q781">
        <v>400.0</v>
      </c>
      <c r="R781"/>
      <c r="S781"/>
      <c r="T781"/>
      <c r="U781"/>
      <c r="V781"/>
      <c r="W781">
        <v>18</v>
      </c>
    </row>
    <row r="782" spans="1:23">
      <c r="A782"/>
      <c r="B782" t="s">
        <v>79</v>
      </c>
      <c r="C782" t="s">
        <v>79</v>
      </c>
      <c r="D782" t="s">
        <v>37</v>
      </c>
      <c r="E782" t="s">
        <v>38</v>
      </c>
      <c r="F782" t="str">
        <f>"0000888"</f>
        <v>0000888</v>
      </c>
      <c r="G782">
        <v>1</v>
      </c>
      <c r="H782" t="str">
        <f>"00000000"</f>
        <v>00000000</v>
      </c>
      <c r="I782" t="s">
        <v>39</v>
      </c>
      <c r="J782"/>
      <c r="K782">
        <v>406.78</v>
      </c>
      <c r="L782">
        <v>0.0</v>
      </c>
      <c r="M782"/>
      <c r="N782"/>
      <c r="O782">
        <v>73.22</v>
      </c>
      <c r="P782">
        <v>0.0</v>
      </c>
      <c r="Q782">
        <v>480.0</v>
      </c>
      <c r="R782"/>
      <c r="S782"/>
      <c r="T782"/>
      <c r="U782"/>
      <c r="V782"/>
      <c r="W782">
        <v>18</v>
      </c>
    </row>
    <row r="783" spans="1:23">
      <c r="A783"/>
      <c r="B783" t="s">
        <v>79</v>
      </c>
      <c r="C783" t="s">
        <v>79</v>
      </c>
      <c r="D783" t="s">
        <v>37</v>
      </c>
      <c r="E783" t="s">
        <v>38</v>
      </c>
      <c r="F783" t="str">
        <f>"0000889"</f>
        <v>0000889</v>
      </c>
      <c r="G783">
        <v>1</v>
      </c>
      <c r="H783" t="str">
        <f>"00000000"</f>
        <v>00000000</v>
      </c>
      <c r="I783" t="s">
        <v>39</v>
      </c>
      <c r="J783"/>
      <c r="K783">
        <v>296.61</v>
      </c>
      <c r="L783">
        <v>0.0</v>
      </c>
      <c r="M783"/>
      <c r="N783"/>
      <c r="O783">
        <v>53.39</v>
      </c>
      <c r="P783">
        <v>0.0</v>
      </c>
      <c r="Q783">
        <v>350.0</v>
      </c>
      <c r="R783"/>
      <c r="S783"/>
      <c r="T783"/>
      <c r="U783"/>
      <c r="V783"/>
      <c r="W783">
        <v>18</v>
      </c>
    </row>
    <row r="784" spans="1:23">
      <c r="A784"/>
      <c r="B784" t="s">
        <v>79</v>
      </c>
      <c r="C784" t="s">
        <v>79</v>
      </c>
      <c r="D784" t="s">
        <v>37</v>
      </c>
      <c r="E784" t="s">
        <v>38</v>
      </c>
      <c r="F784" t="str">
        <f>"0000890"</f>
        <v>0000890</v>
      </c>
      <c r="G784">
        <v>1</v>
      </c>
      <c r="H784" t="str">
        <f>"00000000"</f>
        <v>00000000</v>
      </c>
      <c r="I784" t="s">
        <v>39</v>
      </c>
      <c r="J784"/>
      <c r="K784">
        <v>296.61</v>
      </c>
      <c r="L784">
        <v>0.0</v>
      </c>
      <c r="M784"/>
      <c r="N784"/>
      <c r="O784">
        <v>53.39</v>
      </c>
      <c r="P784">
        <v>0.0</v>
      </c>
      <c r="Q784">
        <v>350.0</v>
      </c>
      <c r="R784"/>
      <c r="S784"/>
      <c r="T784"/>
      <c r="U784"/>
      <c r="V784"/>
      <c r="W784">
        <v>18</v>
      </c>
    </row>
    <row r="785" spans="1:23">
      <c r="A785"/>
      <c r="B785" t="s">
        <v>79</v>
      </c>
      <c r="C785" t="s">
        <v>79</v>
      </c>
      <c r="D785" t="s">
        <v>37</v>
      </c>
      <c r="E785" t="s">
        <v>38</v>
      </c>
      <c r="F785" t="str">
        <f>"0000891"</f>
        <v>0000891</v>
      </c>
      <c r="G785">
        <v>1</v>
      </c>
      <c r="H785" t="str">
        <f>"00000000"</f>
        <v>00000000</v>
      </c>
      <c r="I785" t="s">
        <v>39</v>
      </c>
      <c r="J785"/>
      <c r="K785">
        <v>381.36</v>
      </c>
      <c r="L785">
        <v>0.0</v>
      </c>
      <c r="M785"/>
      <c r="N785"/>
      <c r="O785">
        <v>68.64</v>
      </c>
      <c r="P785">
        <v>0.0</v>
      </c>
      <c r="Q785">
        <v>450.0</v>
      </c>
      <c r="R785"/>
      <c r="S785"/>
      <c r="T785"/>
      <c r="U785"/>
      <c r="V785"/>
      <c r="W785">
        <v>18</v>
      </c>
    </row>
    <row r="786" spans="1:23">
      <c r="A786"/>
      <c r="B786" t="s">
        <v>79</v>
      </c>
      <c r="C786" t="s">
        <v>79</v>
      </c>
      <c r="D786" t="s">
        <v>37</v>
      </c>
      <c r="E786" t="s">
        <v>38</v>
      </c>
      <c r="F786" t="str">
        <f>"0000892"</f>
        <v>0000892</v>
      </c>
      <c r="G786">
        <v>1</v>
      </c>
      <c r="H786" t="str">
        <f>"00000000"</f>
        <v>00000000</v>
      </c>
      <c r="I786" t="s">
        <v>39</v>
      </c>
      <c r="J786"/>
      <c r="K786">
        <v>372.88</v>
      </c>
      <c r="L786">
        <v>0.0</v>
      </c>
      <c r="M786"/>
      <c r="N786"/>
      <c r="O786">
        <v>67.12</v>
      </c>
      <c r="P786">
        <v>0.0</v>
      </c>
      <c r="Q786">
        <v>440.0</v>
      </c>
      <c r="R786"/>
      <c r="S786"/>
      <c r="T786"/>
      <c r="U786"/>
      <c r="V786"/>
      <c r="W786">
        <v>18</v>
      </c>
    </row>
    <row r="787" spans="1:23">
      <c r="A787"/>
      <c r="B787" t="s">
        <v>79</v>
      </c>
      <c r="C787" t="s">
        <v>79</v>
      </c>
      <c r="D787" t="s">
        <v>37</v>
      </c>
      <c r="E787" t="s">
        <v>38</v>
      </c>
      <c r="F787" t="str">
        <f>"0000893"</f>
        <v>0000893</v>
      </c>
      <c r="G787">
        <v>1</v>
      </c>
      <c r="H787" t="str">
        <f>"00000000"</f>
        <v>00000000</v>
      </c>
      <c r="I787" t="s">
        <v>39</v>
      </c>
      <c r="J787"/>
      <c r="K787">
        <v>254.24</v>
      </c>
      <c r="L787">
        <v>0.0</v>
      </c>
      <c r="M787"/>
      <c r="N787"/>
      <c r="O787">
        <v>45.76</v>
      </c>
      <c r="P787">
        <v>0.0</v>
      </c>
      <c r="Q787">
        <v>300.0</v>
      </c>
      <c r="R787"/>
      <c r="S787"/>
      <c r="T787"/>
      <c r="U787"/>
      <c r="V787"/>
      <c r="W787">
        <v>18</v>
      </c>
    </row>
    <row r="788" spans="1:23">
      <c r="A788"/>
      <c r="B788" t="s">
        <v>79</v>
      </c>
      <c r="C788" t="s">
        <v>79</v>
      </c>
      <c r="D788" t="s">
        <v>37</v>
      </c>
      <c r="E788" t="s">
        <v>38</v>
      </c>
      <c r="F788" t="str">
        <f>"0000894"</f>
        <v>0000894</v>
      </c>
      <c r="G788">
        <v>1</v>
      </c>
      <c r="H788" t="str">
        <f>"00000000"</f>
        <v>00000000</v>
      </c>
      <c r="I788" t="s">
        <v>39</v>
      </c>
      <c r="J788"/>
      <c r="K788">
        <v>330.51</v>
      </c>
      <c r="L788">
        <v>0.0</v>
      </c>
      <c r="M788"/>
      <c r="N788"/>
      <c r="O788">
        <v>59.49</v>
      </c>
      <c r="P788">
        <v>0.0</v>
      </c>
      <c r="Q788">
        <v>390.0</v>
      </c>
      <c r="R788"/>
      <c r="S788"/>
      <c r="T788"/>
      <c r="U788"/>
      <c r="V788"/>
      <c r="W788">
        <v>18</v>
      </c>
    </row>
    <row r="789" spans="1:23">
      <c r="A789"/>
      <c r="B789" t="s">
        <v>79</v>
      </c>
      <c r="C789" t="s">
        <v>79</v>
      </c>
      <c r="D789" t="s">
        <v>37</v>
      </c>
      <c r="E789" t="s">
        <v>38</v>
      </c>
      <c r="F789" t="str">
        <f>"0000895"</f>
        <v>0000895</v>
      </c>
      <c r="G789">
        <v>1</v>
      </c>
      <c r="H789" t="str">
        <f>"00000000"</f>
        <v>00000000</v>
      </c>
      <c r="I789" t="s">
        <v>39</v>
      </c>
      <c r="J789"/>
      <c r="K789">
        <v>406.78</v>
      </c>
      <c r="L789">
        <v>0.0</v>
      </c>
      <c r="M789"/>
      <c r="N789"/>
      <c r="O789">
        <v>73.22</v>
      </c>
      <c r="P789">
        <v>0.0</v>
      </c>
      <c r="Q789">
        <v>480.0</v>
      </c>
      <c r="R789"/>
      <c r="S789"/>
      <c r="T789"/>
      <c r="U789"/>
      <c r="V789"/>
      <c r="W789">
        <v>18</v>
      </c>
    </row>
    <row r="790" spans="1:23">
      <c r="A790"/>
      <c r="B790" t="s">
        <v>79</v>
      </c>
      <c r="C790" t="s">
        <v>79</v>
      </c>
      <c r="D790" t="s">
        <v>37</v>
      </c>
      <c r="E790" t="s">
        <v>38</v>
      </c>
      <c r="F790" t="str">
        <f>"0000896"</f>
        <v>0000896</v>
      </c>
      <c r="G790">
        <v>1</v>
      </c>
      <c r="H790" t="str">
        <f>"00000000"</f>
        <v>00000000</v>
      </c>
      <c r="I790" t="s">
        <v>39</v>
      </c>
      <c r="J790"/>
      <c r="K790">
        <v>355.93</v>
      </c>
      <c r="L790">
        <v>0.0</v>
      </c>
      <c r="M790"/>
      <c r="N790"/>
      <c r="O790">
        <v>64.07</v>
      </c>
      <c r="P790">
        <v>0.0</v>
      </c>
      <c r="Q790">
        <v>420.0</v>
      </c>
      <c r="R790"/>
      <c r="S790"/>
      <c r="T790"/>
      <c r="U790"/>
      <c r="V790"/>
      <c r="W790">
        <v>18</v>
      </c>
    </row>
    <row r="791" spans="1:23">
      <c r="A791"/>
      <c r="B791" t="s">
        <v>79</v>
      </c>
      <c r="C791" t="s">
        <v>79</v>
      </c>
      <c r="D791" t="s">
        <v>37</v>
      </c>
      <c r="E791" t="s">
        <v>38</v>
      </c>
      <c r="F791" t="str">
        <f>"0000897"</f>
        <v>0000897</v>
      </c>
      <c r="G791">
        <v>1</v>
      </c>
      <c r="H791" t="str">
        <f>"00000000"</f>
        <v>00000000</v>
      </c>
      <c r="I791" t="s">
        <v>39</v>
      </c>
      <c r="J791"/>
      <c r="K791">
        <v>296.61</v>
      </c>
      <c r="L791">
        <v>0.0</v>
      </c>
      <c r="M791"/>
      <c r="N791"/>
      <c r="O791">
        <v>53.39</v>
      </c>
      <c r="P791">
        <v>0.0</v>
      </c>
      <c r="Q791">
        <v>350.0</v>
      </c>
      <c r="R791"/>
      <c r="S791"/>
      <c r="T791"/>
      <c r="U791"/>
      <c r="V791"/>
      <c r="W791">
        <v>18</v>
      </c>
    </row>
    <row r="792" spans="1:23">
      <c r="A792"/>
      <c r="B792" t="s">
        <v>79</v>
      </c>
      <c r="C792" t="s">
        <v>79</v>
      </c>
      <c r="D792" t="s">
        <v>37</v>
      </c>
      <c r="E792" t="s">
        <v>38</v>
      </c>
      <c r="F792" t="str">
        <f>"0000898"</f>
        <v>0000898</v>
      </c>
      <c r="G792">
        <v>1</v>
      </c>
      <c r="H792" t="str">
        <f>"00000000"</f>
        <v>00000000</v>
      </c>
      <c r="I792" t="s">
        <v>39</v>
      </c>
      <c r="J792"/>
      <c r="K792">
        <v>296.61</v>
      </c>
      <c r="L792">
        <v>0.0</v>
      </c>
      <c r="M792"/>
      <c r="N792"/>
      <c r="O792">
        <v>53.39</v>
      </c>
      <c r="P792">
        <v>0.0</v>
      </c>
      <c r="Q792">
        <v>350.0</v>
      </c>
      <c r="R792"/>
      <c r="S792"/>
      <c r="T792"/>
      <c r="U792"/>
      <c r="V792"/>
      <c r="W792">
        <v>18</v>
      </c>
    </row>
    <row r="793" spans="1:23">
      <c r="A793"/>
      <c r="B793" t="s">
        <v>79</v>
      </c>
      <c r="C793" t="s">
        <v>79</v>
      </c>
      <c r="D793" t="s">
        <v>37</v>
      </c>
      <c r="E793" t="s">
        <v>38</v>
      </c>
      <c r="F793" t="str">
        <f>"0000899"</f>
        <v>0000899</v>
      </c>
      <c r="G793">
        <v>1</v>
      </c>
      <c r="H793" t="str">
        <f>"00000000"</f>
        <v>00000000</v>
      </c>
      <c r="I793" t="s">
        <v>39</v>
      </c>
      <c r="J793"/>
      <c r="K793">
        <v>254.24</v>
      </c>
      <c r="L793">
        <v>0.0</v>
      </c>
      <c r="M793"/>
      <c r="N793"/>
      <c r="O793">
        <v>45.76</v>
      </c>
      <c r="P793">
        <v>0.0</v>
      </c>
      <c r="Q793">
        <v>300.0</v>
      </c>
      <c r="R793"/>
      <c r="S793"/>
      <c r="T793"/>
      <c r="U793"/>
      <c r="V793"/>
      <c r="W793">
        <v>18</v>
      </c>
    </row>
    <row r="794" spans="1:23">
      <c r="A794"/>
      <c r="B794" t="s">
        <v>79</v>
      </c>
      <c r="C794" t="s">
        <v>79</v>
      </c>
      <c r="D794" t="s">
        <v>37</v>
      </c>
      <c r="E794" t="s">
        <v>38</v>
      </c>
      <c r="F794" t="str">
        <f>"0000900"</f>
        <v>0000900</v>
      </c>
      <c r="G794">
        <v>1</v>
      </c>
      <c r="H794" t="str">
        <f>"00000000"</f>
        <v>00000000</v>
      </c>
      <c r="I794" t="s">
        <v>39</v>
      </c>
      <c r="J794"/>
      <c r="K794">
        <v>203.39</v>
      </c>
      <c r="L794">
        <v>0.0</v>
      </c>
      <c r="M794"/>
      <c r="N794"/>
      <c r="O794">
        <v>36.61</v>
      </c>
      <c r="P794">
        <v>0.0</v>
      </c>
      <c r="Q794">
        <v>240.0</v>
      </c>
      <c r="R794"/>
      <c r="S794"/>
      <c r="T794"/>
      <c r="U794"/>
      <c r="V794"/>
      <c r="W794">
        <v>18</v>
      </c>
    </row>
    <row r="795" spans="1:23">
      <c r="A795"/>
      <c r="B795" t="s">
        <v>79</v>
      </c>
      <c r="C795" t="s">
        <v>79</v>
      </c>
      <c r="D795" t="s">
        <v>37</v>
      </c>
      <c r="E795" t="s">
        <v>38</v>
      </c>
      <c r="F795" t="str">
        <f>"0000901"</f>
        <v>0000901</v>
      </c>
      <c r="G795">
        <v>1</v>
      </c>
      <c r="H795" t="str">
        <f>"00000000"</f>
        <v>00000000</v>
      </c>
      <c r="I795" t="s">
        <v>39</v>
      </c>
      <c r="J795"/>
      <c r="K795">
        <v>216.1</v>
      </c>
      <c r="L795">
        <v>0.0</v>
      </c>
      <c r="M795"/>
      <c r="N795"/>
      <c r="O795">
        <v>38.9</v>
      </c>
      <c r="P795">
        <v>0.0</v>
      </c>
      <c r="Q795">
        <v>255.0</v>
      </c>
      <c r="R795"/>
      <c r="S795"/>
      <c r="T795"/>
      <c r="U795"/>
      <c r="V795"/>
      <c r="W795">
        <v>18</v>
      </c>
    </row>
    <row r="796" spans="1:23">
      <c r="A796"/>
      <c r="B796" t="s">
        <v>79</v>
      </c>
      <c r="C796" t="s">
        <v>79</v>
      </c>
      <c r="D796" t="s">
        <v>37</v>
      </c>
      <c r="E796" t="s">
        <v>38</v>
      </c>
      <c r="F796" t="str">
        <f>"0000902"</f>
        <v>0000902</v>
      </c>
      <c r="G796">
        <v>1</v>
      </c>
      <c r="H796" t="str">
        <f>"00000000"</f>
        <v>00000000</v>
      </c>
      <c r="I796" t="s">
        <v>39</v>
      </c>
      <c r="J796"/>
      <c r="K796">
        <v>389.83</v>
      </c>
      <c r="L796">
        <v>0.0</v>
      </c>
      <c r="M796"/>
      <c r="N796"/>
      <c r="O796">
        <v>70.17</v>
      </c>
      <c r="P796">
        <v>0.0</v>
      </c>
      <c r="Q796">
        <v>460.0</v>
      </c>
      <c r="R796"/>
      <c r="S796"/>
      <c r="T796"/>
      <c r="U796"/>
      <c r="V796"/>
      <c r="W796">
        <v>18</v>
      </c>
    </row>
    <row r="797" spans="1:23">
      <c r="A797"/>
      <c r="B797" t="s">
        <v>80</v>
      </c>
      <c r="C797" t="s">
        <v>80</v>
      </c>
      <c r="D797" t="s">
        <v>37</v>
      </c>
      <c r="E797" t="s">
        <v>38</v>
      </c>
      <c r="F797" t="str">
        <f>"0000903"</f>
        <v>0000903</v>
      </c>
      <c r="G797">
        <v>1</v>
      </c>
      <c r="H797" t="str">
        <f>"00000000"</f>
        <v>00000000</v>
      </c>
      <c r="I797" t="s">
        <v>39</v>
      </c>
      <c r="J797"/>
      <c r="K797">
        <v>254.24</v>
      </c>
      <c r="L797">
        <v>0.0</v>
      </c>
      <c r="M797"/>
      <c r="N797"/>
      <c r="O797">
        <v>45.76</v>
      </c>
      <c r="P797">
        <v>0.0</v>
      </c>
      <c r="Q797">
        <v>300.0</v>
      </c>
      <c r="R797"/>
      <c r="S797"/>
      <c r="T797"/>
      <c r="U797"/>
      <c r="V797"/>
      <c r="W797">
        <v>18</v>
      </c>
    </row>
    <row r="798" spans="1:23">
      <c r="A798"/>
      <c r="B798" t="s">
        <v>80</v>
      </c>
      <c r="C798" t="s">
        <v>80</v>
      </c>
      <c r="D798" t="s">
        <v>37</v>
      </c>
      <c r="E798" t="s">
        <v>38</v>
      </c>
      <c r="F798" t="str">
        <f>"0000904"</f>
        <v>0000904</v>
      </c>
      <c r="G798">
        <v>1</v>
      </c>
      <c r="H798" t="str">
        <f>"00000000"</f>
        <v>00000000</v>
      </c>
      <c r="I798" t="s">
        <v>39</v>
      </c>
      <c r="J798"/>
      <c r="K798">
        <v>203.39</v>
      </c>
      <c r="L798">
        <v>0.0</v>
      </c>
      <c r="M798"/>
      <c r="N798"/>
      <c r="O798">
        <v>36.61</v>
      </c>
      <c r="P798">
        <v>0.0</v>
      </c>
      <c r="Q798">
        <v>240.0</v>
      </c>
      <c r="R798"/>
      <c r="S798"/>
      <c r="T798"/>
      <c r="U798"/>
      <c r="V798"/>
      <c r="W798">
        <v>18</v>
      </c>
    </row>
    <row r="799" spans="1:23">
      <c r="A799"/>
      <c r="B799" t="s">
        <v>80</v>
      </c>
      <c r="C799" t="s">
        <v>80</v>
      </c>
      <c r="D799" t="s">
        <v>37</v>
      </c>
      <c r="E799" t="s">
        <v>38</v>
      </c>
      <c r="F799" t="str">
        <f>"0000905"</f>
        <v>0000905</v>
      </c>
      <c r="G799">
        <v>1</v>
      </c>
      <c r="H799" t="str">
        <f>"00000000"</f>
        <v>00000000</v>
      </c>
      <c r="I799" t="s">
        <v>39</v>
      </c>
      <c r="J799"/>
      <c r="K799">
        <v>177.97</v>
      </c>
      <c r="L799">
        <v>0.0</v>
      </c>
      <c r="M799"/>
      <c r="N799"/>
      <c r="O799">
        <v>32.03</v>
      </c>
      <c r="P799">
        <v>0.0</v>
      </c>
      <c r="Q799">
        <v>210.0</v>
      </c>
      <c r="R799"/>
      <c r="S799"/>
      <c r="T799"/>
      <c r="U799"/>
      <c r="V799"/>
      <c r="W799">
        <v>18</v>
      </c>
    </row>
    <row r="800" spans="1:23">
      <c r="A800"/>
      <c r="B800" t="s">
        <v>80</v>
      </c>
      <c r="C800" t="s">
        <v>80</v>
      </c>
      <c r="D800" t="s">
        <v>37</v>
      </c>
      <c r="E800" t="s">
        <v>38</v>
      </c>
      <c r="F800" t="str">
        <f>"0000906"</f>
        <v>0000906</v>
      </c>
      <c r="G800">
        <v>1</v>
      </c>
      <c r="H800" t="str">
        <f>"00000000"</f>
        <v>00000000</v>
      </c>
      <c r="I800" t="s">
        <v>39</v>
      </c>
      <c r="J800"/>
      <c r="K800">
        <v>381.36</v>
      </c>
      <c r="L800">
        <v>0.0</v>
      </c>
      <c r="M800"/>
      <c r="N800"/>
      <c r="O800">
        <v>68.64</v>
      </c>
      <c r="P800">
        <v>0.0</v>
      </c>
      <c r="Q800">
        <v>450.0</v>
      </c>
      <c r="R800"/>
      <c r="S800"/>
      <c r="T800"/>
      <c r="U800"/>
      <c r="V800"/>
      <c r="W800">
        <v>18</v>
      </c>
    </row>
    <row r="801" spans="1:23">
      <c r="A801"/>
      <c r="B801" t="s">
        <v>80</v>
      </c>
      <c r="C801" t="s">
        <v>80</v>
      </c>
      <c r="D801" t="s">
        <v>37</v>
      </c>
      <c r="E801" t="s">
        <v>38</v>
      </c>
      <c r="F801" t="str">
        <f>"0000907"</f>
        <v>0000907</v>
      </c>
      <c r="G801">
        <v>1</v>
      </c>
      <c r="H801" t="str">
        <f>"00000000"</f>
        <v>00000000</v>
      </c>
      <c r="I801" t="s">
        <v>39</v>
      </c>
      <c r="J801"/>
      <c r="K801">
        <v>338.98</v>
      </c>
      <c r="L801">
        <v>0.0</v>
      </c>
      <c r="M801"/>
      <c r="N801"/>
      <c r="O801">
        <v>61.02</v>
      </c>
      <c r="P801">
        <v>0.0</v>
      </c>
      <c r="Q801">
        <v>400.0</v>
      </c>
      <c r="R801"/>
      <c r="S801"/>
      <c r="T801"/>
      <c r="U801"/>
      <c r="V801"/>
      <c r="W801">
        <v>18</v>
      </c>
    </row>
    <row r="802" spans="1:23">
      <c r="A802"/>
      <c r="B802" t="s">
        <v>80</v>
      </c>
      <c r="C802" t="s">
        <v>80</v>
      </c>
      <c r="D802" t="s">
        <v>37</v>
      </c>
      <c r="E802" t="s">
        <v>38</v>
      </c>
      <c r="F802" t="str">
        <f>"0000908"</f>
        <v>0000908</v>
      </c>
      <c r="G802">
        <v>1</v>
      </c>
      <c r="H802" t="str">
        <f>"00000000"</f>
        <v>00000000</v>
      </c>
      <c r="I802" t="s">
        <v>39</v>
      </c>
      <c r="J802"/>
      <c r="K802">
        <v>322.03</v>
      </c>
      <c r="L802">
        <v>0.0</v>
      </c>
      <c r="M802"/>
      <c r="N802"/>
      <c r="O802">
        <v>57.97</v>
      </c>
      <c r="P802">
        <v>0.0</v>
      </c>
      <c r="Q802">
        <v>380.0</v>
      </c>
      <c r="R802"/>
      <c r="S802"/>
      <c r="T802"/>
      <c r="U802"/>
      <c r="V802"/>
      <c r="W802">
        <v>18</v>
      </c>
    </row>
    <row r="803" spans="1:23">
      <c r="A803"/>
      <c r="B803" t="s">
        <v>80</v>
      </c>
      <c r="C803" t="s">
        <v>80</v>
      </c>
      <c r="D803" t="s">
        <v>37</v>
      </c>
      <c r="E803" t="s">
        <v>38</v>
      </c>
      <c r="F803" t="str">
        <f>"0000909"</f>
        <v>0000909</v>
      </c>
      <c r="G803">
        <v>1</v>
      </c>
      <c r="H803" t="str">
        <f>"00000000"</f>
        <v>00000000</v>
      </c>
      <c r="I803" t="s">
        <v>39</v>
      </c>
      <c r="J803"/>
      <c r="K803">
        <v>317.8</v>
      </c>
      <c r="L803">
        <v>0.0</v>
      </c>
      <c r="M803"/>
      <c r="N803"/>
      <c r="O803">
        <v>57.2</v>
      </c>
      <c r="P803">
        <v>0.0</v>
      </c>
      <c r="Q803">
        <v>375.0</v>
      </c>
      <c r="R803"/>
      <c r="S803"/>
      <c r="T803"/>
      <c r="U803"/>
      <c r="V803"/>
      <c r="W803">
        <v>18</v>
      </c>
    </row>
    <row r="804" spans="1:23">
      <c r="A804"/>
      <c r="B804" t="s">
        <v>80</v>
      </c>
      <c r="C804" t="s">
        <v>80</v>
      </c>
      <c r="D804" t="s">
        <v>37</v>
      </c>
      <c r="E804" t="s">
        <v>38</v>
      </c>
      <c r="F804" t="str">
        <f>"0000910"</f>
        <v>0000910</v>
      </c>
      <c r="G804">
        <v>1</v>
      </c>
      <c r="H804" t="str">
        <f>"00000000"</f>
        <v>00000000</v>
      </c>
      <c r="I804" t="s">
        <v>39</v>
      </c>
      <c r="J804"/>
      <c r="K804">
        <v>381.36</v>
      </c>
      <c r="L804">
        <v>0.0</v>
      </c>
      <c r="M804"/>
      <c r="N804"/>
      <c r="O804">
        <v>68.64</v>
      </c>
      <c r="P804">
        <v>0.0</v>
      </c>
      <c r="Q804">
        <v>450.0</v>
      </c>
      <c r="R804"/>
      <c r="S804"/>
      <c r="T804"/>
      <c r="U804"/>
      <c r="V804"/>
      <c r="W804">
        <v>18</v>
      </c>
    </row>
    <row r="805" spans="1:23">
      <c r="A805"/>
      <c r="B805" t="s">
        <v>80</v>
      </c>
      <c r="C805" t="s">
        <v>80</v>
      </c>
      <c r="D805" t="s">
        <v>37</v>
      </c>
      <c r="E805" t="s">
        <v>38</v>
      </c>
      <c r="F805" t="str">
        <f>"0000911"</f>
        <v>0000911</v>
      </c>
      <c r="G805">
        <v>1</v>
      </c>
      <c r="H805" t="str">
        <f>"00000000"</f>
        <v>00000000</v>
      </c>
      <c r="I805" t="s">
        <v>39</v>
      </c>
      <c r="J805"/>
      <c r="K805">
        <v>330.51</v>
      </c>
      <c r="L805">
        <v>0.0</v>
      </c>
      <c r="M805"/>
      <c r="N805"/>
      <c r="O805">
        <v>59.49</v>
      </c>
      <c r="P805">
        <v>0.0</v>
      </c>
      <c r="Q805">
        <v>390.0</v>
      </c>
      <c r="R805"/>
      <c r="S805"/>
      <c r="T805"/>
      <c r="U805"/>
      <c r="V805"/>
      <c r="W805">
        <v>18</v>
      </c>
    </row>
    <row r="806" spans="1:23">
      <c r="A806"/>
      <c r="B806" t="s">
        <v>80</v>
      </c>
      <c r="C806" t="s">
        <v>80</v>
      </c>
      <c r="D806" t="s">
        <v>37</v>
      </c>
      <c r="E806" t="s">
        <v>38</v>
      </c>
      <c r="F806" t="str">
        <f>"0000912"</f>
        <v>0000912</v>
      </c>
      <c r="G806">
        <v>1</v>
      </c>
      <c r="H806" t="str">
        <f>"00000000"</f>
        <v>00000000</v>
      </c>
      <c r="I806" t="s">
        <v>39</v>
      </c>
      <c r="J806"/>
      <c r="K806">
        <v>305.08</v>
      </c>
      <c r="L806">
        <v>0.0</v>
      </c>
      <c r="M806"/>
      <c r="N806"/>
      <c r="O806">
        <v>54.92</v>
      </c>
      <c r="P806">
        <v>0.0</v>
      </c>
      <c r="Q806">
        <v>360.0</v>
      </c>
      <c r="R806"/>
      <c r="S806"/>
      <c r="T806"/>
      <c r="U806"/>
      <c r="V806"/>
      <c r="W806">
        <v>18</v>
      </c>
    </row>
    <row r="807" spans="1:23">
      <c r="A807"/>
      <c r="B807" t="s">
        <v>80</v>
      </c>
      <c r="C807" t="s">
        <v>80</v>
      </c>
      <c r="D807" t="s">
        <v>37</v>
      </c>
      <c r="E807" t="s">
        <v>38</v>
      </c>
      <c r="F807" t="str">
        <f>"0000913"</f>
        <v>0000913</v>
      </c>
      <c r="G807">
        <v>1</v>
      </c>
      <c r="H807" t="str">
        <f>"00000000"</f>
        <v>00000000</v>
      </c>
      <c r="I807" t="s">
        <v>39</v>
      </c>
      <c r="J807"/>
      <c r="K807">
        <v>338.98</v>
      </c>
      <c r="L807">
        <v>0.0</v>
      </c>
      <c r="M807"/>
      <c r="N807"/>
      <c r="O807">
        <v>61.02</v>
      </c>
      <c r="P807">
        <v>0.0</v>
      </c>
      <c r="Q807">
        <v>400.0</v>
      </c>
      <c r="R807"/>
      <c r="S807"/>
      <c r="T807"/>
      <c r="U807"/>
      <c r="V807"/>
      <c r="W807">
        <v>18</v>
      </c>
    </row>
    <row r="808" spans="1:23">
      <c r="A808"/>
      <c r="B808" t="s">
        <v>80</v>
      </c>
      <c r="C808" t="s">
        <v>80</v>
      </c>
      <c r="D808" t="s">
        <v>37</v>
      </c>
      <c r="E808" t="s">
        <v>38</v>
      </c>
      <c r="F808" t="str">
        <f>"0000914"</f>
        <v>0000914</v>
      </c>
      <c r="G808">
        <v>1</v>
      </c>
      <c r="H808" t="str">
        <f>"00000000"</f>
        <v>00000000</v>
      </c>
      <c r="I808" t="s">
        <v>39</v>
      </c>
      <c r="J808"/>
      <c r="K808">
        <v>372.88</v>
      </c>
      <c r="L808">
        <v>0.0</v>
      </c>
      <c r="M808"/>
      <c r="N808"/>
      <c r="O808">
        <v>67.12</v>
      </c>
      <c r="P808">
        <v>0.0</v>
      </c>
      <c r="Q808">
        <v>440.0</v>
      </c>
      <c r="R808"/>
      <c r="S808"/>
      <c r="T808"/>
      <c r="U808"/>
      <c r="V808"/>
      <c r="W808">
        <v>18</v>
      </c>
    </row>
    <row r="809" spans="1:23">
      <c r="A809"/>
      <c r="B809" t="s">
        <v>80</v>
      </c>
      <c r="C809" t="s">
        <v>80</v>
      </c>
      <c r="D809" t="s">
        <v>37</v>
      </c>
      <c r="E809" t="s">
        <v>38</v>
      </c>
      <c r="F809" t="str">
        <f>"0000915"</f>
        <v>0000915</v>
      </c>
      <c r="G809">
        <v>1</v>
      </c>
      <c r="H809" t="str">
        <f>"00000000"</f>
        <v>00000000</v>
      </c>
      <c r="I809" t="s">
        <v>39</v>
      </c>
      <c r="J809"/>
      <c r="K809">
        <v>347.46</v>
      </c>
      <c r="L809">
        <v>0.0</v>
      </c>
      <c r="M809"/>
      <c r="N809"/>
      <c r="O809">
        <v>62.54</v>
      </c>
      <c r="P809">
        <v>0.0</v>
      </c>
      <c r="Q809">
        <v>410.0</v>
      </c>
      <c r="R809"/>
      <c r="S809"/>
      <c r="T809"/>
      <c r="U809"/>
      <c r="V809"/>
      <c r="W809">
        <v>18</v>
      </c>
    </row>
    <row r="810" spans="1:23">
      <c r="A810"/>
      <c r="B810" t="s">
        <v>80</v>
      </c>
      <c r="C810" t="s">
        <v>80</v>
      </c>
      <c r="D810" t="s">
        <v>37</v>
      </c>
      <c r="E810" t="s">
        <v>38</v>
      </c>
      <c r="F810" t="str">
        <f>"0000916"</f>
        <v>0000916</v>
      </c>
      <c r="G810">
        <v>1</v>
      </c>
      <c r="H810" t="str">
        <f>"00000000"</f>
        <v>00000000</v>
      </c>
      <c r="I810" t="s">
        <v>39</v>
      </c>
      <c r="J810"/>
      <c r="K810">
        <v>220.34</v>
      </c>
      <c r="L810">
        <v>0.0</v>
      </c>
      <c r="M810"/>
      <c r="N810"/>
      <c r="O810">
        <v>39.66</v>
      </c>
      <c r="P810">
        <v>0.0</v>
      </c>
      <c r="Q810">
        <v>260.0</v>
      </c>
      <c r="R810"/>
      <c r="S810"/>
      <c r="T810"/>
      <c r="U810"/>
      <c r="V810"/>
      <c r="W810">
        <v>18</v>
      </c>
    </row>
    <row r="811" spans="1:23">
      <c r="A811"/>
      <c r="B811" t="s">
        <v>80</v>
      </c>
      <c r="C811" t="s">
        <v>80</v>
      </c>
      <c r="D811" t="s">
        <v>37</v>
      </c>
      <c r="E811" t="s">
        <v>38</v>
      </c>
      <c r="F811" t="str">
        <f>"0000917"</f>
        <v>0000917</v>
      </c>
      <c r="G811">
        <v>1</v>
      </c>
      <c r="H811" t="str">
        <f>"00000000"</f>
        <v>00000000</v>
      </c>
      <c r="I811" t="s">
        <v>39</v>
      </c>
      <c r="J811"/>
      <c r="K811">
        <v>296.61</v>
      </c>
      <c r="L811">
        <v>0.0</v>
      </c>
      <c r="M811"/>
      <c r="N811"/>
      <c r="O811">
        <v>53.39</v>
      </c>
      <c r="P811">
        <v>0.0</v>
      </c>
      <c r="Q811">
        <v>350.0</v>
      </c>
      <c r="R811"/>
      <c r="S811"/>
      <c r="T811"/>
      <c r="U811"/>
      <c r="V811"/>
      <c r="W811">
        <v>18</v>
      </c>
    </row>
    <row r="812" spans="1:23">
      <c r="A812"/>
      <c r="B812" t="s">
        <v>80</v>
      </c>
      <c r="C812" t="s">
        <v>80</v>
      </c>
      <c r="D812" t="s">
        <v>37</v>
      </c>
      <c r="E812" t="s">
        <v>38</v>
      </c>
      <c r="F812" t="str">
        <f>"0000918"</f>
        <v>0000918</v>
      </c>
      <c r="G812">
        <v>1</v>
      </c>
      <c r="H812" t="str">
        <f>"00000000"</f>
        <v>00000000</v>
      </c>
      <c r="I812" t="s">
        <v>39</v>
      </c>
      <c r="J812"/>
      <c r="K812">
        <v>211.86</v>
      </c>
      <c r="L812">
        <v>0.0</v>
      </c>
      <c r="M812"/>
      <c r="N812"/>
      <c r="O812">
        <v>38.14</v>
      </c>
      <c r="P812">
        <v>0.0</v>
      </c>
      <c r="Q812">
        <v>250.0</v>
      </c>
      <c r="R812"/>
      <c r="S812"/>
      <c r="T812"/>
      <c r="U812"/>
      <c r="V812"/>
      <c r="W812">
        <v>18</v>
      </c>
    </row>
    <row r="813" spans="1:23">
      <c r="A813"/>
      <c r="B813" t="s">
        <v>80</v>
      </c>
      <c r="C813" t="s">
        <v>80</v>
      </c>
      <c r="D813" t="s">
        <v>37</v>
      </c>
      <c r="E813" t="s">
        <v>38</v>
      </c>
      <c r="F813" t="str">
        <f>"0000919"</f>
        <v>0000919</v>
      </c>
      <c r="G813">
        <v>1</v>
      </c>
      <c r="H813" t="str">
        <f>"00000000"</f>
        <v>00000000</v>
      </c>
      <c r="I813" t="s">
        <v>39</v>
      </c>
      <c r="J813"/>
      <c r="K813">
        <v>381.36</v>
      </c>
      <c r="L813">
        <v>0.0</v>
      </c>
      <c r="M813"/>
      <c r="N813"/>
      <c r="O813">
        <v>68.64</v>
      </c>
      <c r="P813">
        <v>0.0</v>
      </c>
      <c r="Q813">
        <v>450.0</v>
      </c>
      <c r="R813"/>
      <c r="S813"/>
      <c r="T813"/>
      <c r="U813"/>
      <c r="V813"/>
      <c r="W813">
        <v>18</v>
      </c>
    </row>
    <row r="814" spans="1:23">
      <c r="A814"/>
      <c r="B814" t="s">
        <v>80</v>
      </c>
      <c r="C814" t="s">
        <v>80</v>
      </c>
      <c r="D814" t="s">
        <v>37</v>
      </c>
      <c r="E814" t="s">
        <v>38</v>
      </c>
      <c r="F814" t="str">
        <f>"0000920"</f>
        <v>0000920</v>
      </c>
      <c r="G814">
        <v>1</v>
      </c>
      <c r="H814" t="str">
        <f>"00000000"</f>
        <v>00000000</v>
      </c>
      <c r="I814" t="s">
        <v>39</v>
      </c>
      <c r="J814"/>
      <c r="K814">
        <v>292.37</v>
      </c>
      <c r="L814">
        <v>0.0</v>
      </c>
      <c r="M814"/>
      <c r="N814"/>
      <c r="O814">
        <v>52.63</v>
      </c>
      <c r="P814">
        <v>0.0</v>
      </c>
      <c r="Q814">
        <v>345.0</v>
      </c>
      <c r="R814"/>
      <c r="S814"/>
      <c r="T814"/>
      <c r="U814"/>
      <c r="V814"/>
      <c r="W814">
        <v>18</v>
      </c>
    </row>
    <row r="815" spans="1:23">
      <c r="A815"/>
      <c r="B815" t="s">
        <v>80</v>
      </c>
      <c r="C815" t="s">
        <v>80</v>
      </c>
      <c r="D815" t="s">
        <v>37</v>
      </c>
      <c r="E815" t="s">
        <v>38</v>
      </c>
      <c r="F815" t="str">
        <f>"0000921"</f>
        <v>0000921</v>
      </c>
      <c r="G815">
        <v>1</v>
      </c>
      <c r="H815" t="str">
        <f>"00000000"</f>
        <v>00000000</v>
      </c>
      <c r="I815" t="s">
        <v>39</v>
      </c>
      <c r="J815"/>
      <c r="K815">
        <v>296.61</v>
      </c>
      <c r="L815">
        <v>0.0</v>
      </c>
      <c r="M815"/>
      <c r="N815"/>
      <c r="O815">
        <v>53.39</v>
      </c>
      <c r="P815">
        <v>0.0</v>
      </c>
      <c r="Q815">
        <v>350.0</v>
      </c>
      <c r="R815"/>
      <c r="S815"/>
      <c r="T815"/>
      <c r="U815"/>
      <c r="V815"/>
      <c r="W815">
        <v>18</v>
      </c>
    </row>
    <row r="816" spans="1:23">
      <c r="A816"/>
      <c r="B816" t="s">
        <v>80</v>
      </c>
      <c r="C816" t="s">
        <v>80</v>
      </c>
      <c r="D816" t="s">
        <v>37</v>
      </c>
      <c r="E816" t="s">
        <v>38</v>
      </c>
      <c r="F816" t="str">
        <f>"0000922"</f>
        <v>0000922</v>
      </c>
      <c r="G816">
        <v>1</v>
      </c>
      <c r="H816" t="str">
        <f>"00000000"</f>
        <v>00000000</v>
      </c>
      <c r="I816" t="s">
        <v>39</v>
      </c>
      <c r="J816"/>
      <c r="K816">
        <v>296.61</v>
      </c>
      <c r="L816">
        <v>0.0</v>
      </c>
      <c r="M816"/>
      <c r="N816"/>
      <c r="O816">
        <v>53.39</v>
      </c>
      <c r="P816">
        <v>0.0</v>
      </c>
      <c r="Q816">
        <v>350.0</v>
      </c>
      <c r="R816"/>
      <c r="S816"/>
      <c r="T816"/>
      <c r="U816"/>
      <c r="V816"/>
      <c r="W816">
        <v>18</v>
      </c>
    </row>
    <row r="817" spans="1:23">
      <c r="A817"/>
      <c r="B817" t="s">
        <v>80</v>
      </c>
      <c r="C817" t="s">
        <v>80</v>
      </c>
      <c r="D817" t="s">
        <v>37</v>
      </c>
      <c r="E817" t="s">
        <v>38</v>
      </c>
      <c r="F817" t="str">
        <f>"0000923"</f>
        <v>0000923</v>
      </c>
      <c r="G817">
        <v>1</v>
      </c>
      <c r="H817" t="str">
        <f>"00000000"</f>
        <v>00000000</v>
      </c>
      <c r="I817" t="s">
        <v>39</v>
      </c>
      <c r="J817"/>
      <c r="K817">
        <v>305.08</v>
      </c>
      <c r="L817">
        <v>0.0</v>
      </c>
      <c r="M817"/>
      <c r="N817"/>
      <c r="O817">
        <v>54.92</v>
      </c>
      <c r="P817">
        <v>0.0</v>
      </c>
      <c r="Q817">
        <v>360.0</v>
      </c>
      <c r="R817"/>
      <c r="S817"/>
      <c r="T817"/>
      <c r="U817"/>
      <c r="V817"/>
      <c r="W817">
        <v>18</v>
      </c>
    </row>
    <row r="818" spans="1:23">
      <c r="A818"/>
      <c r="B818" t="s">
        <v>80</v>
      </c>
      <c r="C818" t="s">
        <v>80</v>
      </c>
      <c r="D818" t="s">
        <v>37</v>
      </c>
      <c r="E818" t="s">
        <v>38</v>
      </c>
      <c r="F818" t="str">
        <f>"0000924"</f>
        <v>0000924</v>
      </c>
      <c r="G818">
        <v>1</v>
      </c>
      <c r="H818" t="str">
        <f>"00000000"</f>
        <v>00000000</v>
      </c>
      <c r="I818" t="s">
        <v>39</v>
      </c>
      <c r="J818"/>
      <c r="K818">
        <v>211.86</v>
      </c>
      <c r="L818">
        <v>0.0</v>
      </c>
      <c r="M818"/>
      <c r="N818"/>
      <c r="O818">
        <v>38.14</v>
      </c>
      <c r="P818">
        <v>0.0</v>
      </c>
      <c r="Q818">
        <v>250.0</v>
      </c>
      <c r="R818"/>
      <c r="S818"/>
      <c r="T818"/>
      <c r="U818"/>
      <c r="V818"/>
      <c r="W818">
        <v>18</v>
      </c>
    </row>
    <row r="819" spans="1:23">
      <c r="A819"/>
      <c r="B819" t="s">
        <v>80</v>
      </c>
      <c r="C819" t="s">
        <v>80</v>
      </c>
      <c r="D819" t="s">
        <v>37</v>
      </c>
      <c r="E819" t="s">
        <v>38</v>
      </c>
      <c r="F819" t="str">
        <f>"0000925"</f>
        <v>0000925</v>
      </c>
      <c r="G819">
        <v>1</v>
      </c>
      <c r="H819" t="str">
        <f>"00000000"</f>
        <v>00000000</v>
      </c>
      <c r="I819" t="s">
        <v>39</v>
      </c>
      <c r="J819"/>
      <c r="K819">
        <v>296.61</v>
      </c>
      <c r="L819">
        <v>0.0</v>
      </c>
      <c r="M819"/>
      <c r="N819"/>
      <c r="O819">
        <v>53.39</v>
      </c>
      <c r="P819">
        <v>0.0</v>
      </c>
      <c r="Q819">
        <v>350.0</v>
      </c>
      <c r="R819"/>
      <c r="S819"/>
      <c r="T819"/>
      <c r="U819"/>
      <c r="V819"/>
      <c r="W819">
        <v>18</v>
      </c>
    </row>
    <row r="820" spans="1:23">
      <c r="A820"/>
      <c r="B820" t="s">
        <v>80</v>
      </c>
      <c r="C820" t="s">
        <v>80</v>
      </c>
      <c r="D820" t="s">
        <v>37</v>
      </c>
      <c r="E820" t="s">
        <v>38</v>
      </c>
      <c r="F820" t="str">
        <f>"0000926"</f>
        <v>0000926</v>
      </c>
      <c r="G820">
        <v>1</v>
      </c>
      <c r="H820" t="str">
        <f>"00000000"</f>
        <v>00000000</v>
      </c>
      <c r="I820" t="s">
        <v>39</v>
      </c>
      <c r="J820"/>
      <c r="K820">
        <v>296.61</v>
      </c>
      <c r="L820">
        <v>0.0</v>
      </c>
      <c r="M820"/>
      <c r="N820"/>
      <c r="O820">
        <v>53.39</v>
      </c>
      <c r="P820">
        <v>0.0</v>
      </c>
      <c r="Q820">
        <v>350.0</v>
      </c>
      <c r="R820"/>
      <c r="S820"/>
      <c r="T820"/>
      <c r="U820"/>
      <c r="V820"/>
      <c r="W820">
        <v>18</v>
      </c>
    </row>
    <row r="821" spans="1:23">
      <c r="A821"/>
      <c r="B821" t="s">
        <v>80</v>
      </c>
      <c r="C821" t="s">
        <v>80</v>
      </c>
      <c r="D821" t="s">
        <v>37</v>
      </c>
      <c r="E821" t="s">
        <v>38</v>
      </c>
      <c r="F821" t="str">
        <f>"0000927"</f>
        <v>0000927</v>
      </c>
      <c r="G821">
        <v>1</v>
      </c>
      <c r="H821" t="str">
        <f>"00000000"</f>
        <v>00000000</v>
      </c>
      <c r="I821" t="s">
        <v>39</v>
      </c>
      <c r="J821"/>
      <c r="K821">
        <v>279.66</v>
      </c>
      <c r="L821">
        <v>0.0</v>
      </c>
      <c r="M821"/>
      <c r="N821"/>
      <c r="O821">
        <v>50.34</v>
      </c>
      <c r="P821">
        <v>0.0</v>
      </c>
      <c r="Q821">
        <v>330.0</v>
      </c>
      <c r="R821"/>
      <c r="S821"/>
      <c r="T821"/>
      <c r="U821"/>
      <c r="V821"/>
      <c r="W821">
        <v>18</v>
      </c>
    </row>
    <row r="822" spans="1:23">
      <c r="A822"/>
      <c r="B822" t="s">
        <v>80</v>
      </c>
      <c r="C822" t="s">
        <v>80</v>
      </c>
      <c r="D822" t="s">
        <v>37</v>
      </c>
      <c r="E822" t="s">
        <v>38</v>
      </c>
      <c r="F822" t="str">
        <f>"0000928"</f>
        <v>0000928</v>
      </c>
      <c r="G822">
        <v>1</v>
      </c>
      <c r="H822" t="str">
        <f>"00000000"</f>
        <v>00000000</v>
      </c>
      <c r="I822" t="s">
        <v>39</v>
      </c>
      <c r="J822"/>
      <c r="K822">
        <v>338.98</v>
      </c>
      <c r="L822">
        <v>0.0</v>
      </c>
      <c r="M822"/>
      <c r="N822"/>
      <c r="O822">
        <v>61.02</v>
      </c>
      <c r="P822">
        <v>0.0</v>
      </c>
      <c r="Q822">
        <v>400.0</v>
      </c>
      <c r="R822"/>
      <c r="S822"/>
      <c r="T822"/>
      <c r="U822"/>
      <c r="V822"/>
      <c r="W822">
        <v>18</v>
      </c>
    </row>
    <row r="823" spans="1:23">
      <c r="A823"/>
      <c r="B823" t="s">
        <v>80</v>
      </c>
      <c r="C823" t="s">
        <v>80</v>
      </c>
      <c r="D823" t="s">
        <v>37</v>
      </c>
      <c r="E823" t="s">
        <v>38</v>
      </c>
      <c r="F823" t="str">
        <f>"0000929"</f>
        <v>0000929</v>
      </c>
      <c r="G823">
        <v>1</v>
      </c>
      <c r="H823" t="str">
        <f>"00000000"</f>
        <v>00000000</v>
      </c>
      <c r="I823" t="s">
        <v>39</v>
      </c>
      <c r="J823"/>
      <c r="K823">
        <v>296.61</v>
      </c>
      <c r="L823">
        <v>0.0</v>
      </c>
      <c r="M823"/>
      <c r="N823"/>
      <c r="O823">
        <v>53.39</v>
      </c>
      <c r="P823">
        <v>0.0</v>
      </c>
      <c r="Q823">
        <v>350.0</v>
      </c>
      <c r="R823"/>
      <c r="S823"/>
      <c r="T823"/>
      <c r="U823"/>
      <c r="V823"/>
      <c r="W823">
        <v>18</v>
      </c>
    </row>
    <row r="824" spans="1:23">
      <c r="A824"/>
      <c r="B824" t="s">
        <v>80</v>
      </c>
      <c r="C824" t="s">
        <v>80</v>
      </c>
      <c r="D824" t="s">
        <v>37</v>
      </c>
      <c r="E824" t="s">
        <v>38</v>
      </c>
      <c r="F824" t="str">
        <f>"0000930"</f>
        <v>0000930</v>
      </c>
      <c r="G824">
        <v>1</v>
      </c>
      <c r="H824" t="str">
        <f>"00000000"</f>
        <v>00000000</v>
      </c>
      <c r="I824" t="s">
        <v>39</v>
      </c>
      <c r="J824"/>
      <c r="K824">
        <v>406.78</v>
      </c>
      <c r="L824">
        <v>0.0</v>
      </c>
      <c r="M824"/>
      <c r="N824"/>
      <c r="O824">
        <v>73.22</v>
      </c>
      <c r="P824">
        <v>0.0</v>
      </c>
      <c r="Q824">
        <v>480.0</v>
      </c>
      <c r="R824"/>
      <c r="S824"/>
      <c r="T824"/>
      <c r="U824"/>
      <c r="V824"/>
      <c r="W824">
        <v>18</v>
      </c>
    </row>
    <row r="825" spans="1:23">
      <c r="A825"/>
      <c r="B825" t="s">
        <v>80</v>
      </c>
      <c r="C825" t="s">
        <v>80</v>
      </c>
      <c r="D825" t="s">
        <v>37</v>
      </c>
      <c r="E825" t="s">
        <v>38</v>
      </c>
      <c r="F825" t="str">
        <f>"0000931"</f>
        <v>0000931</v>
      </c>
      <c r="G825">
        <v>1</v>
      </c>
      <c r="H825" t="str">
        <f>"00000000"</f>
        <v>00000000</v>
      </c>
      <c r="I825" t="s">
        <v>39</v>
      </c>
      <c r="J825"/>
      <c r="K825">
        <v>372.88</v>
      </c>
      <c r="L825">
        <v>0.0</v>
      </c>
      <c r="M825"/>
      <c r="N825"/>
      <c r="O825">
        <v>67.12</v>
      </c>
      <c r="P825">
        <v>0.0</v>
      </c>
      <c r="Q825">
        <v>440.0</v>
      </c>
      <c r="R825"/>
      <c r="S825"/>
      <c r="T825"/>
      <c r="U825"/>
      <c r="V825"/>
      <c r="W825">
        <v>18</v>
      </c>
    </row>
    <row r="826" spans="1:23">
      <c r="A826"/>
      <c r="B826" t="s">
        <v>80</v>
      </c>
      <c r="C826" t="s">
        <v>80</v>
      </c>
      <c r="D826" t="s">
        <v>37</v>
      </c>
      <c r="E826" t="s">
        <v>38</v>
      </c>
      <c r="F826" t="str">
        <f>"0000932"</f>
        <v>0000932</v>
      </c>
      <c r="G826">
        <v>1</v>
      </c>
      <c r="H826" t="str">
        <f>"00000000"</f>
        <v>00000000</v>
      </c>
      <c r="I826" t="s">
        <v>39</v>
      </c>
      <c r="J826"/>
      <c r="K826">
        <v>381.36</v>
      </c>
      <c r="L826">
        <v>0.0</v>
      </c>
      <c r="M826"/>
      <c r="N826"/>
      <c r="O826">
        <v>68.64</v>
      </c>
      <c r="P826">
        <v>0.0</v>
      </c>
      <c r="Q826">
        <v>450.0</v>
      </c>
      <c r="R826"/>
      <c r="S826"/>
      <c r="T826"/>
      <c r="U826"/>
      <c r="V826"/>
      <c r="W826">
        <v>18</v>
      </c>
    </row>
    <row r="827" spans="1:23">
      <c r="A827"/>
      <c r="B827" t="s">
        <v>80</v>
      </c>
      <c r="C827" t="s">
        <v>80</v>
      </c>
      <c r="D827" t="s">
        <v>37</v>
      </c>
      <c r="E827" t="s">
        <v>38</v>
      </c>
      <c r="F827" t="str">
        <f>"0000933"</f>
        <v>0000933</v>
      </c>
      <c r="G827">
        <v>1</v>
      </c>
      <c r="H827" t="str">
        <f>"00000000"</f>
        <v>00000000</v>
      </c>
      <c r="I827" t="s">
        <v>39</v>
      </c>
      <c r="J827"/>
      <c r="K827">
        <v>296.61</v>
      </c>
      <c r="L827">
        <v>0.0</v>
      </c>
      <c r="M827"/>
      <c r="N827"/>
      <c r="O827">
        <v>53.39</v>
      </c>
      <c r="P827">
        <v>0.0</v>
      </c>
      <c r="Q827">
        <v>350.0</v>
      </c>
      <c r="R827"/>
      <c r="S827"/>
      <c r="T827"/>
      <c r="U827"/>
      <c r="V827"/>
      <c r="W827">
        <v>18</v>
      </c>
    </row>
    <row r="828" spans="1:23">
      <c r="A828"/>
      <c r="B828" t="s">
        <v>80</v>
      </c>
      <c r="C828" t="s">
        <v>80</v>
      </c>
      <c r="D828" t="s">
        <v>37</v>
      </c>
      <c r="E828" t="s">
        <v>38</v>
      </c>
      <c r="F828" t="str">
        <f>"0000934"</f>
        <v>0000934</v>
      </c>
      <c r="G828">
        <v>1</v>
      </c>
      <c r="H828" t="str">
        <f>"00000000"</f>
        <v>00000000</v>
      </c>
      <c r="I828" t="s">
        <v>39</v>
      </c>
      <c r="J828"/>
      <c r="K828">
        <v>296.61</v>
      </c>
      <c r="L828">
        <v>0.0</v>
      </c>
      <c r="M828"/>
      <c r="N828"/>
      <c r="O828">
        <v>53.39</v>
      </c>
      <c r="P828">
        <v>0.0</v>
      </c>
      <c r="Q828">
        <v>350.0</v>
      </c>
      <c r="R828"/>
      <c r="S828"/>
      <c r="T828"/>
      <c r="U828"/>
      <c r="V828"/>
      <c r="W828">
        <v>18</v>
      </c>
    </row>
    <row r="829" spans="1:23">
      <c r="A829"/>
      <c r="B829" t="s">
        <v>80</v>
      </c>
      <c r="C829" t="s">
        <v>80</v>
      </c>
      <c r="D829" t="s">
        <v>37</v>
      </c>
      <c r="E829" t="s">
        <v>38</v>
      </c>
      <c r="F829" t="str">
        <f>"0000935"</f>
        <v>0000935</v>
      </c>
      <c r="G829">
        <v>1</v>
      </c>
      <c r="H829" t="str">
        <f>"00000000"</f>
        <v>00000000</v>
      </c>
      <c r="I829" t="s">
        <v>39</v>
      </c>
      <c r="J829"/>
      <c r="K829">
        <v>254.24</v>
      </c>
      <c r="L829">
        <v>0.0</v>
      </c>
      <c r="M829"/>
      <c r="N829"/>
      <c r="O829">
        <v>45.76</v>
      </c>
      <c r="P829">
        <v>0.0</v>
      </c>
      <c r="Q829">
        <v>300.0</v>
      </c>
      <c r="R829"/>
      <c r="S829"/>
      <c r="T829"/>
      <c r="U829"/>
      <c r="V829"/>
      <c r="W829">
        <v>18</v>
      </c>
    </row>
    <row r="830" spans="1:23">
      <c r="A830"/>
      <c r="B830" t="s">
        <v>80</v>
      </c>
      <c r="C830" t="s">
        <v>80</v>
      </c>
      <c r="D830" t="s">
        <v>37</v>
      </c>
      <c r="E830" t="s">
        <v>38</v>
      </c>
      <c r="F830" t="str">
        <f>"0000936"</f>
        <v>0000936</v>
      </c>
      <c r="G830">
        <v>1</v>
      </c>
      <c r="H830" t="str">
        <f>"00000000"</f>
        <v>00000000</v>
      </c>
      <c r="I830" t="s">
        <v>39</v>
      </c>
      <c r="J830"/>
      <c r="K830">
        <v>211.86</v>
      </c>
      <c r="L830">
        <v>0.0</v>
      </c>
      <c r="M830"/>
      <c r="N830"/>
      <c r="O830">
        <v>38.14</v>
      </c>
      <c r="P830">
        <v>0.0</v>
      </c>
      <c r="Q830">
        <v>250.0</v>
      </c>
      <c r="R830"/>
      <c r="S830"/>
      <c r="T830"/>
      <c r="U830"/>
      <c r="V830"/>
      <c r="W830">
        <v>18</v>
      </c>
    </row>
    <row r="831" spans="1:23">
      <c r="A831"/>
      <c r="B831" t="s">
        <v>80</v>
      </c>
      <c r="C831" t="s">
        <v>80</v>
      </c>
      <c r="D831" t="s">
        <v>37</v>
      </c>
      <c r="E831" t="s">
        <v>38</v>
      </c>
      <c r="F831" t="str">
        <f>"0000937"</f>
        <v>0000937</v>
      </c>
      <c r="G831">
        <v>1</v>
      </c>
      <c r="H831" t="str">
        <f>"00000000"</f>
        <v>00000000</v>
      </c>
      <c r="I831" t="s">
        <v>39</v>
      </c>
      <c r="J831"/>
      <c r="K831">
        <v>355.93</v>
      </c>
      <c r="L831">
        <v>0.0</v>
      </c>
      <c r="M831"/>
      <c r="N831"/>
      <c r="O831">
        <v>64.07</v>
      </c>
      <c r="P831">
        <v>0.0</v>
      </c>
      <c r="Q831">
        <v>420.0</v>
      </c>
      <c r="R831"/>
      <c r="S831"/>
      <c r="T831"/>
      <c r="U831"/>
      <c r="V831"/>
      <c r="W831">
        <v>18</v>
      </c>
    </row>
    <row r="832" spans="1:23">
      <c r="A832"/>
      <c r="B832" t="s">
        <v>80</v>
      </c>
      <c r="C832" t="s">
        <v>80</v>
      </c>
      <c r="D832" t="s">
        <v>37</v>
      </c>
      <c r="E832" t="s">
        <v>38</v>
      </c>
      <c r="F832" t="str">
        <f>"0000938"</f>
        <v>0000938</v>
      </c>
      <c r="G832">
        <v>1</v>
      </c>
      <c r="H832" t="str">
        <f>"00000000"</f>
        <v>00000000</v>
      </c>
      <c r="I832" t="s">
        <v>39</v>
      </c>
      <c r="J832"/>
      <c r="K832">
        <v>161.02</v>
      </c>
      <c r="L832">
        <v>0.0</v>
      </c>
      <c r="M832"/>
      <c r="N832"/>
      <c r="O832">
        <v>28.98</v>
      </c>
      <c r="P832">
        <v>0.0</v>
      </c>
      <c r="Q832">
        <v>190.0</v>
      </c>
      <c r="R832"/>
      <c r="S832"/>
      <c r="T832"/>
      <c r="U832"/>
      <c r="V832"/>
      <c r="W832">
        <v>18</v>
      </c>
    </row>
    <row r="833" spans="1:23">
      <c r="A833"/>
      <c r="B833" t="s">
        <v>80</v>
      </c>
      <c r="C833" t="s">
        <v>80</v>
      </c>
      <c r="D833" t="s">
        <v>37</v>
      </c>
      <c r="E833" t="s">
        <v>38</v>
      </c>
      <c r="F833" t="str">
        <f>"0000939"</f>
        <v>0000939</v>
      </c>
      <c r="G833">
        <v>1</v>
      </c>
      <c r="H833" t="str">
        <f>"00000000"</f>
        <v>00000000</v>
      </c>
      <c r="I833" t="s">
        <v>39</v>
      </c>
      <c r="J833"/>
      <c r="K833">
        <v>330.51</v>
      </c>
      <c r="L833">
        <v>0.0</v>
      </c>
      <c r="M833"/>
      <c r="N833"/>
      <c r="O833">
        <v>59.49</v>
      </c>
      <c r="P833">
        <v>0.0</v>
      </c>
      <c r="Q833">
        <v>390.0</v>
      </c>
      <c r="R833"/>
      <c r="S833"/>
      <c r="T833"/>
      <c r="U833"/>
      <c r="V833"/>
      <c r="W833">
        <v>18</v>
      </c>
    </row>
    <row r="834" spans="1:23">
      <c r="A834"/>
      <c r="B834" t="s">
        <v>80</v>
      </c>
      <c r="C834" t="s">
        <v>80</v>
      </c>
      <c r="D834" t="s">
        <v>37</v>
      </c>
      <c r="E834" t="s">
        <v>38</v>
      </c>
      <c r="F834" t="str">
        <f>"0000940"</f>
        <v>0000940</v>
      </c>
      <c r="G834">
        <v>1</v>
      </c>
      <c r="H834" t="str">
        <f>"00000000"</f>
        <v>00000000</v>
      </c>
      <c r="I834" t="s">
        <v>39</v>
      </c>
      <c r="J834"/>
      <c r="K834">
        <v>203.39</v>
      </c>
      <c r="L834">
        <v>0.0</v>
      </c>
      <c r="M834"/>
      <c r="N834"/>
      <c r="O834">
        <v>36.61</v>
      </c>
      <c r="P834">
        <v>0.0</v>
      </c>
      <c r="Q834">
        <v>240.0</v>
      </c>
      <c r="R834"/>
      <c r="S834"/>
      <c r="T834"/>
      <c r="U834"/>
      <c r="V834"/>
      <c r="W834">
        <v>18</v>
      </c>
    </row>
    <row r="835" spans="1:23">
      <c r="A835"/>
      <c r="B835" t="s">
        <v>80</v>
      </c>
      <c r="C835" t="s">
        <v>80</v>
      </c>
      <c r="D835" t="s">
        <v>37</v>
      </c>
      <c r="E835" t="s">
        <v>38</v>
      </c>
      <c r="F835" t="str">
        <f>"0000941"</f>
        <v>0000941</v>
      </c>
      <c r="G835">
        <v>1</v>
      </c>
      <c r="H835" t="str">
        <f>"00000000"</f>
        <v>00000000</v>
      </c>
      <c r="I835" t="s">
        <v>39</v>
      </c>
      <c r="J835"/>
      <c r="K835">
        <v>228.81</v>
      </c>
      <c r="L835">
        <v>0.0</v>
      </c>
      <c r="M835"/>
      <c r="N835"/>
      <c r="O835">
        <v>41.19</v>
      </c>
      <c r="P835">
        <v>0.0</v>
      </c>
      <c r="Q835">
        <v>270.0</v>
      </c>
      <c r="R835"/>
      <c r="S835"/>
      <c r="T835"/>
      <c r="U835"/>
      <c r="V835"/>
      <c r="W835">
        <v>18</v>
      </c>
    </row>
    <row r="836" spans="1:23">
      <c r="A836"/>
      <c r="B836" t="s">
        <v>80</v>
      </c>
      <c r="C836" t="s">
        <v>80</v>
      </c>
      <c r="D836" t="s">
        <v>37</v>
      </c>
      <c r="E836" t="s">
        <v>38</v>
      </c>
      <c r="F836" t="str">
        <f>"0000942"</f>
        <v>0000942</v>
      </c>
      <c r="G836">
        <v>1</v>
      </c>
      <c r="H836" t="str">
        <f>"00000000"</f>
        <v>00000000</v>
      </c>
      <c r="I836" t="s">
        <v>39</v>
      </c>
      <c r="J836"/>
      <c r="K836">
        <v>381.36</v>
      </c>
      <c r="L836">
        <v>0.0</v>
      </c>
      <c r="M836"/>
      <c r="N836"/>
      <c r="O836">
        <v>68.64</v>
      </c>
      <c r="P836">
        <v>0.0</v>
      </c>
      <c r="Q836">
        <v>450.0</v>
      </c>
      <c r="R836"/>
      <c r="S836"/>
      <c r="T836"/>
      <c r="U836"/>
      <c r="V836"/>
      <c r="W836">
        <v>18</v>
      </c>
    </row>
    <row r="837" spans="1:23">
      <c r="A837"/>
      <c r="B837" t="s">
        <v>80</v>
      </c>
      <c r="C837" t="s">
        <v>80</v>
      </c>
      <c r="D837" t="s">
        <v>37</v>
      </c>
      <c r="E837" t="s">
        <v>38</v>
      </c>
      <c r="F837" t="str">
        <f>"0000943"</f>
        <v>0000943</v>
      </c>
      <c r="G837">
        <v>1</v>
      </c>
      <c r="H837" t="str">
        <f>"00000000"</f>
        <v>00000000</v>
      </c>
      <c r="I837" t="s">
        <v>39</v>
      </c>
      <c r="J837"/>
      <c r="K837">
        <v>355.93</v>
      </c>
      <c r="L837">
        <v>0.0</v>
      </c>
      <c r="M837"/>
      <c r="N837"/>
      <c r="O837">
        <v>64.07</v>
      </c>
      <c r="P837">
        <v>0.0</v>
      </c>
      <c r="Q837">
        <v>420.0</v>
      </c>
      <c r="R837"/>
      <c r="S837"/>
      <c r="T837"/>
      <c r="U837"/>
      <c r="V837"/>
      <c r="W837">
        <v>18</v>
      </c>
    </row>
    <row r="838" spans="1:23">
      <c r="A838"/>
      <c r="B838" t="s">
        <v>81</v>
      </c>
      <c r="C838" t="s">
        <v>81</v>
      </c>
      <c r="D838" t="s">
        <v>37</v>
      </c>
      <c r="E838" t="s">
        <v>38</v>
      </c>
      <c r="F838" t="str">
        <f>"0000944"</f>
        <v>0000944</v>
      </c>
      <c r="G838">
        <v>1</v>
      </c>
      <c r="H838" t="str">
        <f>"00000000"</f>
        <v>00000000</v>
      </c>
      <c r="I838" t="s">
        <v>39</v>
      </c>
      <c r="J838"/>
      <c r="K838">
        <v>372.88</v>
      </c>
      <c r="L838">
        <v>0.0</v>
      </c>
      <c r="M838"/>
      <c r="N838"/>
      <c r="O838">
        <v>67.12</v>
      </c>
      <c r="P838">
        <v>0.0</v>
      </c>
      <c r="Q838">
        <v>440.0</v>
      </c>
      <c r="R838"/>
      <c r="S838"/>
      <c r="T838"/>
      <c r="U838"/>
      <c r="V838"/>
      <c r="W838">
        <v>18</v>
      </c>
    </row>
    <row r="839" spans="1:23">
      <c r="A839"/>
      <c r="B839" t="s">
        <v>81</v>
      </c>
      <c r="C839" t="s">
        <v>81</v>
      </c>
      <c r="D839" t="s">
        <v>37</v>
      </c>
      <c r="E839" t="s">
        <v>38</v>
      </c>
      <c r="F839" t="str">
        <f>"0000945"</f>
        <v>0000945</v>
      </c>
      <c r="G839">
        <v>1</v>
      </c>
      <c r="H839" t="str">
        <f>"00000000"</f>
        <v>00000000</v>
      </c>
      <c r="I839" t="s">
        <v>39</v>
      </c>
      <c r="J839"/>
      <c r="K839">
        <v>177.97</v>
      </c>
      <c r="L839">
        <v>0.0</v>
      </c>
      <c r="M839"/>
      <c r="N839"/>
      <c r="O839">
        <v>32.03</v>
      </c>
      <c r="P839">
        <v>0.0</v>
      </c>
      <c r="Q839">
        <v>210.0</v>
      </c>
      <c r="R839"/>
      <c r="S839"/>
      <c r="T839"/>
      <c r="U839"/>
      <c r="V839"/>
      <c r="W839">
        <v>18</v>
      </c>
    </row>
    <row r="840" spans="1:23">
      <c r="A840"/>
      <c r="B840" t="s">
        <v>81</v>
      </c>
      <c r="C840" t="s">
        <v>81</v>
      </c>
      <c r="D840" t="s">
        <v>37</v>
      </c>
      <c r="E840" t="s">
        <v>38</v>
      </c>
      <c r="F840" t="str">
        <f>"0000946"</f>
        <v>0000946</v>
      </c>
      <c r="G840">
        <v>1</v>
      </c>
      <c r="H840" t="str">
        <f>"00000000"</f>
        <v>00000000</v>
      </c>
      <c r="I840" t="s">
        <v>39</v>
      </c>
      <c r="J840"/>
      <c r="K840">
        <v>381.36</v>
      </c>
      <c r="L840">
        <v>0.0</v>
      </c>
      <c r="M840"/>
      <c r="N840"/>
      <c r="O840">
        <v>68.64</v>
      </c>
      <c r="P840">
        <v>0.0</v>
      </c>
      <c r="Q840">
        <v>450.0</v>
      </c>
      <c r="R840"/>
      <c r="S840"/>
      <c r="T840"/>
      <c r="U840"/>
      <c r="V840"/>
      <c r="W840">
        <v>18</v>
      </c>
    </row>
    <row r="841" spans="1:23">
      <c r="A841"/>
      <c r="B841" t="s">
        <v>81</v>
      </c>
      <c r="C841" t="s">
        <v>81</v>
      </c>
      <c r="D841" t="s">
        <v>37</v>
      </c>
      <c r="E841" t="s">
        <v>38</v>
      </c>
      <c r="F841" t="str">
        <f>"0000947"</f>
        <v>0000947</v>
      </c>
      <c r="G841">
        <v>1</v>
      </c>
      <c r="H841" t="str">
        <f>"00000000"</f>
        <v>00000000</v>
      </c>
      <c r="I841" t="s">
        <v>39</v>
      </c>
      <c r="J841"/>
      <c r="K841">
        <v>338.98</v>
      </c>
      <c r="L841">
        <v>0.0</v>
      </c>
      <c r="M841"/>
      <c r="N841"/>
      <c r="O841">
        <v>61.02</v>
      </c>
      <c r="P841">
        <v>0.0</v>
      </c>
      <c r="Q841">
        <v>400.0</v>
      </c>
      <c r="R841"/>
      <c r="S841"/>
      <c r="T841"/>
      <c r="U841"/>
      <c r="V841"/>
      <c r="W841">
        <v>18</v>
      </c>
    </row>
    <row r="842" spans="1:23">
      <c r="A842"/>
      <c r="B842" t="s">
        <v>81</v>
      </c>
      <c r="C842" t="s">
        <v>81</v>
      </c>
      <c r="D842" t="s">
        <v>37</v>
      </c>
      <c r="E842" t="s">
        <v>38</v>
      </c>
      <c r="F842" t="str">
        <f>"0000948"</f>
        <v>0000948</v>
      </c>
      <c r="G842">
        <v>1</v>
      </c>
      <c r="H842" t="str">
        <f>"00000000"</f>
        <v>00000000</v>
      </c>
      <c r="I842" t="s">
        <v>39</v>
      </c>
      <c r="J842"/>
      <c r="K842">
        <v>254.24</v>
      </c>
      <c r="L842">
        <v>0.0</v>
      </c>
      <c r="M842"/>
      <c r="N842"/>
      <c r="O842">
        <v>45.76</v>
      </c>
      <c r="P842">
        <v>0.0</v>
      </c>
      <c r="Q842">
        <v>300.0</v>
      </c>
      <c r="R842"/>
      <c r="S842"/>
      <c r="T842"/>
      <c r="U842"/>
      <c r="V842"/>
      <c r="W842">
        <v>18</v>
      </c>
    </row>
    <row r="843" spans="1:23">
      <c r="A843"/>
      <c r="B843" t="s">
        <v>81</v>
      </c>
      <c r="C843" t="s">
        <v>81</v>
      </c>
      <c r="D843" t="s">
        <v>37</v>
      </c>
      <c r="E843" t="s">
        <v>38</v>
      </c>
      <c r="F843" t="str">
        <f>"0000949"</f>
        <v>0000949</v>
      </c>
      <c r="G843">
        <v>1</v>
      </c>
      <c r="H843" t="str">
        <f>"00000000"</f>
        <v>00000000</v>
      </c>
      <c r="I843" t="s">
        <v>39</v>
      </c>
      <c r="J843"/>
      <c r="K843">
        <v>372.88</v>
      </c>
      <c r="L843">
        <v>0.0</v>
      </c>
      <c r="M843"/>
      <c r="N843"/>
      <c r="O843">
        <v>67.12</v>
      </c>
      <c r="P843">
        <v>0.0</v>
      </c>
      <c r="Q843">
        <v>440.0</v>
      </c>
      <c r="R843"/>
      <c r="S843"/>
      <c r="T843"/>
      <c r="U843"/>
      <c r="V843"/>
      <c r="W843">
        <v>18</v>
      </c>
    </row>
    <row r="844" spans="1:23">
      <c r="A844"/>
      <c r="B844" t="s">
        <v>81</v>
      </c>
      <c r="C844" t="s">
        <v>81</v>
      </c>
      <c r="D844" t="s">
        <v>37</v>
      </c>
      <c r="E844" t="s">
        <v>38</v>
      </c>
      <c r="F844" t="str">
        <f>"0000950"</f>
        <v>0000950</v>
      </c>
      <c r="G844">
        <v>1</v>
      </c>
      <c r="H844" t="str">
        <f>"00000000"</f>
        <v>00000000</v>
      </c>
      <c r="I844" t="s">
        <v>39</v>
      </c>
      <c r="J844"/>
      <c r="K844">
        <v>423.73</v>
      </c>
      <c r="L844">
        <v>0.0</v>
      </c>
      <c r="M844"/>
      <c r="N844"/>
      <c r="O844">
        <v>76.27</v>
      </c>
      <c r="P844">
        <v>0.0</v>
      </c>
      <c r="Q844">
        <v>500.0</v>
      </c>
      <c r="R844"/>
      <c r="S844"/>
      <c r="T844"/>
      <c r="U844"/>
      <c r="V844"/>
      <c r="W844">
        <v>18</v>
      </c>
    </row>
    <row r="845" spans="1:23">
      <c r="A845"/>
      <c r="B845" t="s">
        <v>81</v>
      </c>
      <c r="C845" t="s">
        <v>81</v>
      </c>
      <c r="D845" t="s">
        <v>37</v>
      </c>
      <c r="E845" t="s">
        <v>38</v>
      </c>
      <c r="F845" t="str">
        <f>"0000951"</f>
        <v>0000951</v>
      </c>
      <c r="G845">
        <v>1</v>
      </c>
      <c r="H845" t="str">
        <f>"00000000"</f>
        <v>00000000</v>
      </c>
      <c r="I845" t="s">
        <v>39</v>
      </c>
      <c r="J845"/>
      <c r="K845">
        <v>355.93</v>
      </c>
      <c r="L845">
        <v>0.0</v>
      </c>
      <c r="M845"/>
      <c r="N845"/>
      <c r="O845">
        <v>64.07</v>
      </c>
      <c r="P845">
        <v>0.0</v>
      </c>
      <c r="Q845">
        <v>420.0</v>
      </c>
      <c r="R845"/>
      <c r="S845"/>
      <c r="T845"/>
      <c r="U845"/>
      <c r="V845"/>
      <c r="W845">
        <v>18</v>
      </c>
    </row>
    <row r="846" spans="1:23">
      <c r="A846"/>
      <c r="B846" t="s">
        <v>81</v>
      </c>
      <c r="C846" t="s">
        <v>81</v>
      </c>
      <c r="D846" t="s">
        <v>37</v>
      </c>
      <c r="E846" t="s">
        <v>38</v>
      </c>
      <c r="F846" t="str">
        <f>"0000952"</f>
        <v>0000952</v>
      </c>
      <c r="G846">
        <v>1</v>
      </c>
      <c r="H846" t="str">
        <f>"00000000"</f>
        <v>00000000</v>
      </c>
      <c r="I846" t="s">
        <v>39</v>
      </c>
      <c r="J846"/>
      <c r="K846">
        <v>351.69</v>
      </c>
      <c r="L846">
        <v>0.0</v>
      </c>
      <c r="M846"/>
      <c r="N846"/>
      <c r="O846">
        <v>63.31</v>
      </c>
      <c r="P846">
        <v>0.0</v>
      </c>
      <c r="Q846">
        <v>415.0</v>
      </c>
      <c r="R846"/>
      <c r="S846"/>
      <c r="T846"/>
      <c r="U846"/>
      <c r="V846"/>
      <c r="W846">
        <v>18</v>
      </c>
    </row>
    <row r="847" spans="1:23">
      <c r="A847"/>
      <c r="B847" t="s">
        <v>81</v>
      </c>
      <c r="C847" t="s">
        <v>81</v>
      </c>
      <c r="D847" t="s">
        <v>37</v>
      </c>
      <c r="E847" t="s">
        <v>38</v>
      </c>
      <c r="F847" t="str">
        <f>"0000953"</f>
        <v>0000953</v>
      </c>
      <c r="G847">
        <v>1</v>
      </c>
      <c r="H847" t="str">
        <f>"00000000"</f>
        <v>00000000</v>
      </c>
      <c r="I847" t="s">
        <v>39</v>
      </c>
      <c r="J847"/>
      <c r="K847">
        <v>279.66</v>
      </c>
      <c r="L847">
        <v>0.0</v>
      </c>
      <c r="M847"/>
      <c r="N847"/>
      <c r="O847">
        <v>50.34</v>
      </c>
      <c r="P847">
        <v>0.0</v>
      </c>
      <c r="Q847">
        <v>330.0</v>
      </c>
      <c r="R847"/>
      <c r="S847"/>
      <c r="T847"/>
      <c r="U847"/>
      <c r="V847"/>
      <c r="W847">
        <v>18</v>
      </c>
    </row>
    <row r="848" spans="1:23">
      <c r="A848"/>
      <c r="B848" t="s">
        <v>81</v>
      </c>
      <c r="C848" t="s">
        <v>81</v>
      </c>
      <c r="D848" t="s">
        <v>37</v>
      </c>
      <c r="E848" t="s">
        <v>38</v>
      </c>
      <c r="F848" t="str">
        <f>"0000954"</f>
        <v>0000954</v>
      </c>
      <c r="G848">
        <v>1</v>
      </c>
      <c r="H848" t="str">
        <f>"00000000"</f>
        <v>00000000</v>
      </c>
      <c r="I848" t="s">
        <v>39</v>
      </c>
      <c r="J848"/>
      <c r="K848">
        <v>292.37</v>
      </c>
      <c r="L848">
        <v>0.0</v>
      </c>
      <c r="M848"/>
      <c r="N848"/>
      <c r="O848">
        <v>52.63</v>
      </c>
      <c r="P848">
        <v>0.0</v>
      </c>
      <c r="Q848">
        <v>345.0</v>
      </c>
      <c r="R848"/>
      <c r="S848"/>
      <c r="T848"/>
      <c r="U848"/>
      <c r="V848"/>
      <c r="W848">
        <v>18</v>
      </c>
    </row>
    <row r="849" spans="1:23">
      <c r="A849"/>
      <c r="B849" t="s">
        <v>81</v>
      </c>
      <c r="C849" t="s">
        <v>81</v>
      </c>
      <c r="D849" t="s">
        <v>37</v>
      </c>
      <c r="E849" t="s">
        <v>38</v>
      </c>
      <c r="F849" t="str">
        <f>"0000955"</f>
        <v>0000955</v>
      </c>
      <c r="G849">
        <v>1</v>
      </c>
      <c r="H849" t="str">
        <f>"00000000"</f>
        <v>00000000</v>
      </c>
      <c r="I849" t="s">
        <v>39</v>
      </c>
      <c r="J849"/>
      <c r="K849">
        <v>228.81</v>
      </c>
      <c r="L849">
        <v>0.0</v>
      </c>
      <c r="M849"/>
      <c r="N849"/>
      <c r="O849">
        <v>41.19</v>
      </c>
      <c r="P849">
        <v>0.0</v>
      </c>
      <c r="Q849">
        <v>270.0</v>
      </c>
      <c r="R849"/>
      <c r="S849"/>
      <c r="T849"/>
      <c r="U849"/>
      <c r="V849"/>
      <c r="W849">
        <v>18</v>
      </c>
    </row>
    <row r="850" spans="1:23">
      <c r="A850"/>
      <c r="B850" t="s">
        <v>81</v>
      </c>
      <c r="C850" t="s">
        <v>81</v>
      </c>
      <c r="D850" t="s">
        <v>37</v>
      </c>
      <c r="E850" t="s">
        <v>38</v>
      </c>
      <c r="F850" t="str">
        <f>"0000956"</f>
        <v>0000956</v>
      </c>
      <c r="G850">
        <v>1</v>
      </c>
      <c r="H850" t="str">
        <f>"00000000"</f>
        <v>00000000</v>
      </c>
      <c r="I850" t="s">
        <v>39</v>
      </c>
      <c r="J850"/>
      <c r="K850">
        <v>296.61</v>
      </c>
      <c r="L850">
        <v>0.0</v>
      </c>
      <c r="M850"/>
      <c r="N850"/>
      <c r="O850">
        <v>53.39</v>
      </c>
      <c r="P850">
        <v>0.0</v>
      </c>
      <c r="Q850">
        <v>350.0</v>
      </c>
      <c r="R850"/>
      <c r="S850"/>
      <c r="T850"/>
      <c r="U850"/>
      <c r="V850"/>
      <c r="W850">
        <v>18</v>
      </c>
    </row>
    <row r="851" spans="1:23">
      <c r="A851"/>
      <c r="B851" t="s">
        <v>81</v>
      </c>
      <c r="C851" t="s">
        <v>81</v>
      </c>
      <c r="D851" t="s">
        <v>37</v>
      </c>
      <c r="E851" t="s">
        <v>38</v>
      </c>
      <c r="F851" t="str">
        <f>"0000957"</f>
        <v>0000957</v>
      </c>
      <c r="G851">
        <v>1</v>
      </c>
      <c r="H851" t="str">
        <f>"00000000"</f>
        <v>00000000</v>
      </c>
      <c r="I851" t="s">
        <v>39</v>
      </c>
      <c r="J851"/>
      <c r="K851">
        <v>423.73</v>
      </c>
      <c r="L851">
        <v>0.0</v>
      </c>
      <c r="M851"/>
      <c r="N851"/>
      <c r="O851">
        <v>76.27</v>
      </c>
      <c r="P851">
        <v>0.0</v>
      </c>
      <c r="Q851">
        <v>500.0</v>
      </c>
      <c r="R851"/>
      <c r="S851"/>
      <c r="T851"/>
      <c r="U851"/>
      <c r="V851"/>
      <c r="W851">
        <v>18</v>
      </c>
    </row>
    <row r="852" spans="1:23">
      <c r="A852"/>
      <c r="B852" t="s">
        <v>81</v>
      </c>
      <c r="C852" t="s">
        <v>81</v>
      </c>
      <c r="D852" t="s">
        <v>37</v>
      </c>
      <c r="E852" t="s">
        <v>38</v>
      </c>
      <c r="F852" t="str">
        <f>"0000958"</f>
        <v>0000958</v>
      </c>
      <c r="G852">
        <v>1</v>
      </c>
      <c r="H852" t="str">
        <f>"00000000"</f>
        <v>00000000</v>
      </c>
      <c r="I852" t="s">
        <v>39</v>
      </c>
      <c r="J852"/>
      <c r="K852">
        <v>296.61</v>
      </c>
      <c r="L852">
        <v>0.0</v>
      </c>
      <c r="M852"/>
      <c r="N852"/>
      <c r="O852">
        <v>53.39</v>
      </c>
      <c r="P852">
        <v>0.0</v>
      </c>
      <c r="Q852">
        <v>350.0</v>
      </c>
      <c r="R852"/>
      <c r="S852"/>
      <c r="T852"/>
      <c r="U852"/>
      <c r="V852"/>
      <c r="W852">
        <v>18</v>
      </c>
    </row>
    <row r="853" spans="1:23">
      <c r="A853"/>
      <c r="B853" t="s">
        <v>81</v>
      </c>
      <c r="C853" t="s">
        <v>81</v>
      </c>
      <c r="D853" t="s">
        <v>37</v>
      </c>
      <c r="E853" t="s">
        <v>38</v>
      </c>
      <c r="F853" t="str">
        <f>"0000959"</f>
        <v>0000959</v>
      </c>
      <c r="G853">
        <v>1</v>
      </c>
      <c r="H853" t="str">
        <f>"00000000"</f>
        <v>00000000</v>
      </c>
      <c r="I853" t="s">
        <v>39</v>
      </c>
      <c r="J853"/>
      <c r="K853">
        <v>338.98</v>
      </c>
      <c r="L853">
        <v>0.0</v>
      </c>
      <c r="M853"/>
      <c r="N853"/>
      <c r="O853">
        <v>61.02</v>
      </c>
      <c r="P853">
        <v>0.0</v>
      </c>
      <c r="Q853">
        <v>400.0</v>
      </c>
      <c r="R853"/>
      <c r="S853"/>
      <c r="T853"/>
      <c r="U853"/>
      <c r="V853"/>
      <c r="W853">
        <v>18</v>
      </c>
    </row>
    <row r="854" spans="1:23">
      <c r="A854"/>
      <c r="B854" t="s">
        <v>81</v>
      </c>
      <c r="C854" t="s">
        <v>81</v>
      </c>
      <c r="D854" t="s">
        <v>37</v>
      </c>
      <c r="E854" t="s">
        <v>38</v>
      </c>
      <c r="F854" t="str">
        <f>"0000960"</f>
        <v>0000960</v>
      </c>
      <c r="G854">
        <v>1</v>
      </c>
      <c r="H854" t="str">
        <f>"00000000"</f>
        <v>00000000</v>
      </c>
      <c r="I854" t="s">
        <v>39</v>
      </c>
      <c r="J854"/>
      <c r="K854">
        <v>296.61</v>
      </c>
      <c r="L854">
        <v>0.0</v>
      </c>
      <c r="M854"/>
      <c r="N854"/>
      <c r="O854">
        <v>53.39</v>
      </c>
      <c r="P854">
        <v>0.0</v>
      </c>
      <c r="Q854">
        <v>350.0</v>
      </c>
      <c r="R854"/>
      <c r="S854"/>
      <c r="T854"/>
      <c r="U854"/>
      <c r="V854"/>
      <c r="W854">
        <v>18</v>
      </c>
    </row>
    <row r="855" spans="1:23">
      <c r="A855"/>
      <c r="B855" t="s">
        <v>81</v>
      </c>
      <c r="C855" t="s">
        <v>81</v>
      </c>
      <c r="D855" t="s">
        <v>37</v>
      </c>
      <c r="E855" t="s">
        <v>38</v>
      </c>
      <c r="F855" t="str">
        <f>"0000961"</f>
        <v>0000961</v>
      </c>
      <c r="G855">
        <v>1</v>
      </c>
      <c r="H855" t="str">
        <f>"00000000"</f>
        <v>00000000</v>
      </c>
      <c r="I855" t="s">
        <v>39</v>
      </c>
      <c r="J855"/>
      <c r="K855">
        <v>275.42</v>
      </c>
      <c r="L855">
        <v>0.0</v>
      </c>
      <c r="M855"/>
      <c r="N855"/>
      <c r="O855">
        <v>49.58</v>
      </c>
      <c r="P855">
        <v>0.0</v>
      </c>
      <c r="Q855">
        <v>325.0</v>
      </c>
      <c r="R855"/>
      <c r="S855"/>
      <c r="T855"/>
      <c r="U855"/>
      <c r="V855"/>
      <c r="W855">
        <v>18</v>
      </c>
    </row>
    <row r="856" spans="1:23">
      <c r="A856"/>
      <c r="B856" t="s">
        <v>81</v>
      </c>
      <c r="C856" t="s">
        <v>81</v>
      </c>
      <c r="D856" t="s">
        <v>37</v>
      </c>
      <c r="E856" t="s">
        <v>38</v>
      </c>
      <c r="F856" t="str">
        <f>"0000962"</f>
        <v>0000962</v>
      </c>
      <c r="G856">
        <v>1</v>
      </c>
      <c r="H856" t="str">
        <f>"00000000"</f>
        <v>00000000</v>
      </c>
      <c r="I856" t="s">
        <v>39</v>
      </c>
      <c r="J856"/>
      <c r="K856">
        <v>330.51</v>
      </c>
      <c r="L856">
        <v>0.0</v>
      </c>
      <c r="M856"/>
      <c r="N856"/>
      <c r="O856">
        <v>59.49</v>
      </c>
      <c r="P856">
        <v>0.0</v>
      </c>
      <c r="Q856">
        <v>390.0</v>
      </c>
      <c r="R856"/>
      <c r="S856"/>
      <c r="T856"/>
      <c r="U856"/>
      <c r="V856"/>
      <c r="W856">
        <v>18</v>
      </c>
    </row>
    <row r="857" spans="1:23">
      <c r="A857"/>
      <c r="B857" t="s">
        <v>81</v>
      </c>
      <c r="C857" t="s">
        <v>81</v>
      </c>
      <c r="D857" t="s">
        <v>37</v>
      </c>
      <c r="E857" t="s">
        <v>38</v>
      </c>
      <c r="F857" t="str">
        <f>"0000963"</f>
        <v>0000963</v>
      </c>
      <c r="G857">
        <v>1</v>
      </c>
      <c r="H857" t="str">
        <f>"00000000"</f>
        <v>00000000</v>
      </c>
      <c r="I857" t="s">
        <v>39</v>
      </c>
      <c r="J857"/>
      <c r="K857">
        <v>296.61</v>
      </c>
      <c r="L857">
        <v>0.0</v>
      </c>
      <c r="M857"/>
      <c r="N857"/>
      <c r="O857">
        <v>53.39</v>
      </c>
      <c r="P857">
        <v>0.0</v>
      </c>
      <c r="Q857">
        <v>350.0</v>
      </c>
      <c r="R857"/>
      <c r="S857"/>
      <c r="T857"/>
      <c r="U857"/>
      <c r="V857"/>
      <c r="W857">
        <v>18</v>
      </c>
    </row>
    <row r="858" spans="1:23">
      <c r="A858"/>
      <c r="B858" t="s">
        <v>81</v>
      </c>
      <c r="C858" t="s">
        <v>81</v>
      </c>
      <c r="D858" t="s">
        <v>37</v>
      </c>
      <c r="E858" t="s">
        <v>38</v>
      </c>
      <c r="F858" t="str">
        <f>"0000964"</f>
        <v>0000964</v>
      </c>
      <c r="G858">
        <v>1</v>
      </c>
      <c r="H858" t="str">
        <f>"00000000"</f>
        <v>00000000</v>
      </c>
      <c r="I858" t="s">
        <v>39</v>
      </c>
      <c r="J858"/>
      <c r="K858">
        <v>338.98</v>
      </c>
      <c r="L858">
        <v>0.0</v>
      </c>
      <c r="M858"/>
      <c r="N858"/>
      <c r="O858">
        <v>61.02</v>
      </c>
      <c r="P858">
        <v>0.0</v>
      </c>
      <c r="Q858">
        <v>400.0</v>
      </c>
      <c r="R858"/>
      <c r="S858"/>
      <c r="T858"/>
      <c r="U858"/>
      <c r="V858"/>
      <c r="W858">
        <v>18</v>
      </c>
    </row>
    <row r="859" spans="1:23">
      <c r="A859"/>
      <c r="B859" t="s">
        <v>81</v>
      </c>
      <c r="C859" t="s">
        <v>81</v>
      </c>
      <c r="D859" t="s">
        <v>37</v>
      </c>
      <c r="E859" t="s">
        <v>38</v>
      </c>
      <c r="F859" t="str">
        <f>"0000965"</f>
        <v>0000965</v>
      </c>
      <c r="G859">
        <v>1</v>
      </c>
      <c r="H859" t="str">
        <f>"00000000"</f>
        <v>00000000</v>
      </c>
      <c r="I859" t="s">
        <v>39</v>
      </c>
      <c r="J859"/>
      <c r="K859">
        <v>296.61</v>
      </c>
      <c r="L859">
        <v>0.0</v>
      </c>
      <c r="M859"/>
      <c r="N859"/>
      <c r="O859">
        <v>53.39</v>
      </c>
      <c r="P859">
        <v>0.0</v>
      </c>
      <c r="Q859">
        <v>350.0</v>
      </c>
      <c r="R859"/>
      <c r="S859"/>
      <c r="T859"/>
      <c r="U859"/>
      <c r="V859"/>
      <c r="W859">
        <v>18</v>
      </c>
    </row>
    <row r="860" spans="1:23">
      <c r="A860"/>
      <c r="B860" t="s">
        <v>81</v>
      </c>
      <c r="C860" t="s">
        <v>81</v>
      </c>
      <c r="D860" t="s">
        <v>37</v>
      </c>
      <c r="E860" t="s">
        <v>38</v>
      </c>
      <c r="F860" t="str">
        <f>"0000966"</f>
        <v>0000966</v>
      </c>
      <c r="G860">
        <v>1</v>
      </c>
      <c r="H860" t="str">
        <f>"00000000"</f>
        <v>00000000</v>
      </c>
      <c r="I860" t="s">
        <v>39</v>
      </c>
      <c r="J860"/>
      <c r="K860">
        <v>169.49</v>
      </c>
      <c r="L860">
        <v>0.0</v>
      </c>
      <c r="M860"/>
      <c r="N860"/>
      <c r="O860">
        <v>30.51</v>
      </c>
      <c r="P860">
        <v>0.0</v>
      </c>
      <c r="Q860">
        <v>200.0</v>
      </c>
      <c r="R860"/>
      <c r="S860"/>
      <c r="T860"/>
      <c r="U860"/>
      <c r="V860"/>
      <c r="W860">
        <v>18</v>
      </c>
    </row>
    <row r="861" spans="1:23">
      <c r="A861"/>
      <c r="B861" t="s">
        <v>81</v>
      </c>
      <c r="C861" t="s">
        <v>81</v>
      </c>
      <c r="D861" t="s">
        <v>37</v>
      </c>
      <c r="E861" t="s">
        <v>38</v>
      </c>
      <c r="F861" t="str">
        <f>"0000967"</f>
        <v>0000967</v>
      </c>
      <c r="G861">
        <v>1</v>
      </c>
      <c r="H861" t="str">
        <f>"00000000"</f>
        <v>00000000</v>
      </c>
      <c r="I861" t="s">
        <v>39</v>
      </c>
      <c r="J861"/>
      <c r="K861">
        <v>296.61</v>
      </c>
      <c r="L861">
        <v>0.0</v>
      </c>
      <c r="M861"/>
      <c r="N861"/>
      <c r="O861">
        <v>53.39</v>
      </c>
      <c r="P861">
        <v>0.0</v>
      </c>
      <c r="Q861">
        <v>350.0</v>
      </c>
      <c r="R861"/>
      <c r="S861"/>
      <c r="T861"/>
      <c r="U861"/>
      <c r="V861"/>
      <c r="W861">
        <v>18</v>
      </c>
    </row>
    <row r="862" spans="1:23">
      <c r="A862"/>
      <c r="B862" t="s">
        <v>81</v>
      </c>
      <c r="C862" t="s">
        <v>81</v>
      </c>
      <c r="D862" t="s">
        <v>37</v>
      </c>
      <c r="E862" t="s">
        <v>38</v>
      </c>
      <c r="F862" t="str">
        <f>"0000968"</f>
        <v>0000968</v>
      </c>
      <c r="G862">
        <v>1</v>
      </c>
      <c r="H862" t="str">
        <f>"00000000"</f>
        <v>00000000</v>
      </c>
      <c r="I862" t="s">
        <v>39</v>
      </c>
      <c r="J862"/>
      <c r="K862">
        <v>347.46</v>
      </c>
      <c r="L862">
        <v>0.0</v>
      </c>
      <c r="M862"/>
      <c r="N862"/>
      <c r="O862">
        <v>62.54</v>
      </c>
      <c r="P862">
        <v>0.0</v>
      </c>
      <c r="Q862">
        <v>410.0</v>
      </c>
      <c r="R862"/>
      <c r="S862"/>
      <c r="T862"/>
      <c r="U862"/>
      <c r="V862"/>
      <c r="W862">
        <v>18</v>
      </c>
    </row>
    <row r="863" spans="1:23">
      <c r="A863"/>
      <c r="B863" t="s">
        <v>81</v>
      </c>
      <c r="C863" t="s">
        <v>81</v>
      </c>
      <c r="D863" t="s">
        <v>37</v>
      </c>
      <c r="E863" t="s">
        <v>38</v>
      </c>
      <c r="F863" t="str">
        <f>"0000969"</f>
        <v>0000969</v>
      </c>
      <c r="G863">
        <v>1</v>
      </c>
      <c r="H863" t="str">
        <f>"00000000"</f>
        <v>00000000</v>
      </c>
      <c r="I863" t="s">
        <v>39</v>
      </c>
      <c r="J863"/>
      <c r="K863">
        <v>220.34</v>
      </c>
      <c r="L863">
        <v>0.0</v>
      </c>
      <c r="M863"/>
      <c r="N863"/>
      <c r="O863">
        <v>39.66</v>
      </c>
      <c r="P863">
        <v>0.0</v>
      </c>
      <c r="Q863">
        <v>260.0</v>
      </c>
      <c r="R863"/>
      <c r="S863"/>
      <c r="T863"/>
      <c r="U863"/>
      <c r="V863"/>
      <c r="W863">
        <v>18</v>
      </c>
    </row>
    <row r="864" spans="1:23">
      <c r="A864"/>
      <c r="B864" t="s">
        <v>81</v>
      </c>
      <c r="C864" t="s">
        <v>81</v>
      </c>
      <c r="D864" t="s">
        <v>37</v>
      </c>
      <c r="E864" t="s">
        <v>38</v>
      </c>
      <c r="F864" t="str">
        <f>"0000970"</f>
        <v>0000970</v>
      </c>
      <c r="G864">
        <v>1</v>
      </c>
      <c r="H864" t="str">
        <f>"00000000"</f>
        <v>00000000</v>
      </c>
      <c r="I864" t="s">
        <v>39</v>
      </c>
      <c r="J864"/>
      <c r="K864">
        <v>220.34</v>
      </c>
      <c r="L864">
        <v>0.0</v>
      </c>
      <c r="M864"/>
      <c r="N864"/>
      <c r="O864">
        <v>39.66</v>
      </c>
      <c r="P864">
        <v>0.0</v>
      </c>
      <c r="Q864">
        <v>260.0</v>
      </c>
      <c r="R864"/>
      <c r="S864"/>
      <c r="T864"/>
      <c r="U864"/>
      <c r="V864"/>
      <c r="W864">
        <v>18</v>
      </c>
    </row>
    <row r="865" spans="1:23">
      <c r="A865"/>
      <c r="B865" t="s">
        <v>81</v>
      </c>
      <c r="C865" t="s">
        <v>81</v>
      </c>
      <c r="D865" t="s">
        <v>37</v>
      </c>
      <c r="E865" t="s">
        <v>38</v>
      </c>
      <c r="F865" t="str">
        <f>"0000971"</f>
        <v>0000971</v>
      </c>
      <c r="G865">
        <v>1</v>
      </c>
      <c r="H865" t="str">
        <f>"00000000"</f>
        <v>00000000</v>
      </c>
      <c r="I865" t="s">
        <v>39</v>
      </c>
      <c r="J865"/>
      <c r="K865">
        <v>406.78</v>
      </c>
      <c r="L865">
        <v>0.0</v>
      </c>
      <c r="M865"/>
      <c r="N865"/>
      <c r="O865">
        <v>73.22</v>
      </c>
      <c r="P865">
        <v>0.0</v>
      </c>
      <c r="Q865">
        <v>480.0</v>
      </c>
      <c r="R865"/>
      <c r="S865"/>
      <c r="T865"/>
      <c r="U865"/>
      <c r="V865"/>
      <c r="W865">
        <v>18</v>
      </c>
    </row>
    <row r="866" spans="1:23">
      <c r="A866"/>
      <c r="B866" t="s">
        <v>81</v>
      </c>
      <c r="C866" t="s">
        <v>81</v>
      </c>
      <c r="D866" t="s">
        <v>37</v>
      </c>
      <c r="E866" t="s">
        <v>38</v>
      </c>
      <c r="F866" t="str">
        <f>"0000972"</f>
        <v>0000972</v>
      </c>
      <c r="G866">
        <v>1</v>
      </c>
      <c r="H866" t="str">
        <f>"00000000"</f>
        <v>00000000</v>
      </c>
      <c r="I866" t="s">
        <v>39</v>
      </c>
      <c r="J866"/>
      <c r="K866">
        <v>381.36</v>
      </c>
      <c r="L866">
        <v>0.0</v>
      </c>
      <c r="M866"/>
      <c r="N866"/>
      <c r="O866">
        <v>68.64</v>
      </c>
      <c r="P866">
        <v>0.0</v>
      </c>
      <c r="Q866">
        <v>450.0</v>
      </c>
      <c r="R866"/>
      <c r="S866"/>
      <c r="T866"/>
      <c r="U866"/>
      <c r="V866"/>
      <c r="W866">
        <v>18</v>
      </c>
    </row>
    <row r="867" spans="1:23">
      <c r="A867"/>
      <c r="B867" t="s">
        <v>81</v>
      </c>
      <c r="C867" t="s">
        <v>81</v>
      </c>
      <c r="D867" t="s">
        <v>37</v>
      </c>
      <c r="E867" t="s">
        <v>38</v>
      </c>
      <c r="F867" t="str">
        <f>"0000973"</f>
        <v>0000973</v>
      </c>
      <c r="G867">
        <v>1</v>
      </c>
      <c r="H867" t="str">
        <f>"00000000"</f>
        <v>00000000</v>
      </c>
      <c r="I867" t="s">
        <v>39</v>
      </c>
      <c r="J867"/>
      <c r="K867">
        <v>338.98</v>
      </c>
      <c r="L867">
        <v>0.0</v>
      </c>
      <c r="M867"/>
      <c r="N867"/>
      <c r="O867">
        <v>61.02</v>
      </c>
      <c r="P867">
        <v>0.0</v>
      </c>
      <c r="Q867">
        <v>400.0</v>
      </c>
      <c r="R867"/>
      <c r="S867"/>
      <c r="T867"/>
      <c r="U867"/>
      <c r="V867"/>
      <c r="W867">
        <v>18</v>
      </c>
    </row>
    <row r="868" spans="1:23">
      <c r="A868"/>
      <c r="B868" t="s">
        <v>81</v>
      </c>
      <c r="C868" t="s">
        <v>81</v>
      </c>
      <c r="D868" t="s">
        <v>37</v>
      </c>
      <c r="E868" t="s">
        <v>38</v>
      </c>
      <c r="F868" t="str">
        <f>"0000974"</f>
        <v>0000974</v>
      </c>
      <c r="G868">
        <v>1</v>
      </c>
      <c r="H868" t="str">
        <f>"00000000"</f>
        <v>00000000</v>
      </c>
      <c r="I868" t="s">
        <v>39</v>
      </c>
      <c r="J868"/>
      <c r="K868">
        <v>296.61</v>
      </c>
      <c r="L868">
        <v>0.0</v>
      </c>
      <c r="M868"/>
      <c r="N868"/>
      <c r="O868">
        <v>53.39</v>
      </c>
      <c r="P868">
        <v>0.0</v>
      </c>
      <c r="Q868">
        <v>350.0</v>
      </c>
      <c r="R868"/>
      <c r="S868"/>
      <c r="T868"/>
      <c r="U868"/>
      <c r="V868"/>
      <c r="W868">
        <v>18</v>
      </c>
    </row>
    <row r="869" spans="1:23">
      <c r="A869"/>
      <c r="B869" t="s">
        <v>81</v>
      </c>
      <c r="C869" t="s">
        <v>81</v>
      </c>
      <c r="D869" t="s">
        <v>37</v>
      </c>
      <c r="E869" t="s">
        <v>38</v>
      </c>
      <c r="F869" t="str">
        <f>"0000975"</f>
        <v>0000975</v>
      </c>
      <c r="G869">
        <v>1</v>
      </c>
      <c r="H869" t="str">
        <f>"00000000"</f>
        <v>00000000</v>
      </c>
      <c r="I869" t="s">
        <v>39</v>
      </c>
      <c r="J869"/>
      <c r="K869">
        <v>372.88</v>
      </c>
      <c r="L869">
        <v>0.0</v>
      </c>
      <c r="M869"/>
      <c r="N869"/>
      <c r="O869">
        <v>67.12</v>
      </c>
      <c r="P869">
        <v>0.0</v>
      </c>
      <c r="Q869">
        <v>440.0</v>
      </c>
      <c r="R869"/>
      <c r="S869"/>
      <c r="T869"/>
      <c r="U869"/>
      <c r="V869"/>
      <c r="W869">
        <v>18</v>
      </c>
    </row>
    <row r="870" spans="1:23">
      <c r="A870"/>
      <c r="B870" t="s">
        <v>81</v>
      </c>
      <c r="C870" t="s">
        <v>81</v>
      </c>
      <c r="D870" t="s">
        <v>37</v>
      </c>
      <c r="E870" t="s">
        <v>38</v>
      </c>
      <c r="F870" t="str">
        <f>"0000976"</f>
        <v>0000976</v>
      </c>
      <c r="G870">
        <v>1</v>
      </c>
      <c r="H870" t="str">
        <f>"00000000"</f>
        <v>00000000</v>
      </c>
      <c r="I870" t="s">
        <v>39</v>
      </c>
      <c r="J870"/>
      <c r="K870">
        <v>254.24</v>
      </c>
      <c r="L870">
        <v>0.0</v>
      </c>
      <c r="M870"/>
      <c r="N870"/>
      <c r="O870">
        <v>45.76</v>
      </c>
      <c r="P870">
        <v>0.0</v>
      </c>
      <c r="Q870">
        <v>300.0</v>
      </c>
      <c r="R870"/>
      <c r="S870"/>
      <c r="T870"/>
      <c r="U870"/>
      <c r="V870"/>
      <c r="W870">
        <v>18</v>
      </c>
    </row>
    <row r="871" spans="1:23">
      <c r="A871"/>
      <c r="B871" t="s">
        <v>81</v>
      </c>
      <c r="C871" t="s">
        <v>81</v>
      </c>
      <c r="D871" t="s">
        <v>37</v>
      </c>
      <c r="E871" t="s">
        <v>38</v>
      </c>
      <c r="F871" t="str">
        <f>"0000977"</f>
        <v>0000977</v>
      </c>
      <c r="G871">
        <v>1</v>
      </c>
      <c r="H871" t="str">
        <f>"00000000"</f>
        <v>00000000</v>
      </c>
      <c r="I871" t="s">
        <v>39</v>
      </c>
      <c r="J871"/>
      <c r="K871">
        <v>254.24</v>
      </c>
      <c r="L871">
        <v>0.0</v>
      </c>
      <c r="M871"/>
      <c r="N871"/>
      <c r="O871">
        <v>45.76</v>
      </c>
      <c r="P871">
        <v>0.0</v>
      </c>
      <c r="Q871">
        <v>300.0</v>
      </c>
      <c r="R871"/>
      <c r="S871"/>
      <c r="T871"/>
      <c r="U871"/>
      <c r="V871"/>
      <c r="W871">
        <v>18</v>
      </c>
    </row>
    <row r="872" spans="1:23">
      <c r="A872"/>
      <c r="B872" t="s">
        <v>81</v>
      </c>
      <c r="C872" t="s">
        <v>81</v>
      </c>
      <c r="D872" t="s">
        <v>37</v>
      </c>
      <c r="E872" t="s">
        <v>38</v>
      </c>
      <c r="F872" t="str">
        <f>"0000978"</f>
        <v>0000978</v>
      </c>
      <c r="G872">
        <v>1</v>
      </c>
      <c r="H872" t="str">
        <f>"00000000"</f>
        <v>00000000</v>
      </c>
      <c r="I872" t="s">
        <v>39</v>
      </c>
      <c r="J872"/>
      <c r="K872">
        <v>338.98</v>
      </c>
      <c r="L872">
        <v>0.0</v>
      </c>
      <c r="M872"/>
      <c r="N872"/>
      <c r="O872">
        <v>61.02</v>
      </c>
      <c r="P872">
        <v>0.0</v>
      </c>
      <c r="Q872">
        <v>400.0</v>
      </c>
      <c r="R872"/>
      <c r="S872"/>
      <c r="T872"/>
      <c r="U872"/>
      <c r="V872"/>
      <c r="W872">
        <v>18</v>
      </c>
    </row>
    <row r="873" spans="1:23">
      <c r="A873"/>
      <c r="B873" t="s">
        <v>81</v>
      </c>
      <c r="C873" t="s">
        <v>81</v>
      </c>
      <c r="D873" t="s">
        <v>37</v>
      </c>
      <c r="E873" t="s">
        <v>38</v>
      </c>
      <c r="F873" t="str">
        <f>"0000979"</f>
        <v>0000979</v>
      </c>
      <c r="G873">
        <v>1</v>
      </c>
      <c r="H873" t="str">
        <f>"00000000"</f>
        <v>00000000</v>
      </c>
      <c r="I873" t="s">
        <v>39</v>
      </c>
      <c r="J873"/>
      <c r="K873">
        <v>233.05</v>
      </c>
      <c r="L873">
        <v>0.0</v>
      </c>
      <c r="M873"/>
      <c r="N873"/>
      <c r="O873">
        <v>41.95</v>
      </c>
      <c r="P873">
        <v>0.0</v>
      </c>
      <c r="Q873">
        <v>275.0</v>
      </c>
      <c r="R873"/>
      <c r="S873"/>
      <c r="T873"/>
      <c r="U873"/>
      <c r="V873"/>
      <c r="W873">
        <v>18</v>
      </c>
    </row>
    <row r="874" spans="1:23">
      <c r="A874"/>
      <c r="B874" t="s">
        <v>81</v>
      </c>
      <c r="C874" t="s">
        <v>81</v>
      </c>
      <c r="D874" t="s">
        <v>37</v>
      </c>
      <c r="E874" t="s">
        <v>38</v>
      </c>
      <c r="F874" t="str">
        <f>"0000980"</f>
        <v>0000980</v>
      </c>
      <c r="G874">
        <v>1</v>
      </c>
      <c r="H874" t="str">
        <f>"00000000"</f>
        <v>00000000</v>
      </c>
      <c r="I874" t="s">
        <v>39</v>
      </c>
      <c r="J874"/>
      <c r="K874">
        <v>338.98</v>
      </c>
      <c r="L874">
        <v>0.0</v>
      </c>
      <c r="M874"/>
      <c r="N874"/>
      <c r="O874">
        <v>61.02</v>
      </c>
      <c r="P874">
        <v>0.0</v>
      </c>
      <c r="Q874">
        <v>400.0</v>
      </c>
      <c r="R874"/>
      <c r="S874"/>
      <c r="T874"/>
      <c r="U874"/>
      <c r="V874"/>
      <c r="W874">
        <v>18</v>
      </c>
    </row>
    <row r="875" spans="1:23">
      <c r="A875"/>
      <c r="B875" t="s">
        <v>81</v>
      </c>
      <c r="C875" t="s">
        <v>81</v>
      </c>
      <c r="D875" t="s">
        <v>37</v>
      </c>
      <c r="E875" t="s">
        <v>38</v>
      </c>
      <c r="F875" t="str">
        <f>"0000981"</f>
        <v>0000981</v>
      </c>
      <c r="G875">
        <v>1</v>
      </c>
      <c r="H875" t="str">
        <f>"00000000"</f>
        <v>00000000</v>
      </c>
      <c r="I875" t="s">
        <v>39</v>
      </c>
      <c r="J875"/>
      <c r="K875">
        <v>338.98</v>
      </c>
      <c r="L875">
        <v>0.0</v>
      </c>
      <c r="M875"/>
      <c r="N875"/>
      <c r="O875">
        <v>61.02</v>
      </c>
      <c r="P875">
        <v>0.0</v>
      </c>
      <c r="Q875">
        <v>400.0</v>
      </c>
      <c r="R875"/>
      <c r="S875"/>
      <c r="T875"/>
      <c r="U875"/>
      <c r="V875"/>
      <c r="W875">
        <v>18</v>
      </c>
    </row>
    <row r="876" spans="1:23">
      <c r="A876"/>
      <c r="B876" t="s">
        <v>81</v>
      </c>
      <c r="C876" t="s">
        <v>81</v>
      </c>
      <c r="D876" t="s">
        <v>37</v>
      </c>
      <c r="E876" t="s">
        <v>38</v>
      </c>
      <c r="F876" t="str">
        <f>"0000982"</f>
        <v>0000982</v>
      </c>
      <c r="G876">
        <v>1</v>
      </c>
      <c r="H876" t="str">
        <f>"00000000"</f>
        <v>00000000</v>
      </c>
      <c r="I876" t="s">
        <v>39</v>
      </c>
      <c r="J876"/>
      <c r="K876">
        <v>372.88</v>
      </c>
      <c r="L876">
        <v>0.0</v>
      </c>
      <c r="M876"/>
      <c r="N876"/>
      <c r="O876">
        <v>67.12</v>
      </c>
      <c r="P876">
        <v>0.0</v>
      </c>
      <c r="Q876">
        <v>440.0</v>
      </c>
      <c r="R876"/>
      <c r="S876"/>
      <c r="T876"/>
      <c r="U876"/>
      <c r="V876"/>
      <c r="W876">
        <v>18</v>
      </c>
    </row>
    <row r="877" spans="1:23">
      <c r="A877"/>
      <c r="B877" t="s">
        <v>81</v>
      </c>
      <c r="C877" t="s">
        <v>81</v>
      </c>
      <c r="D877" t="s">
        <v>37</v>
      </c>
      <c r="E877" t="s">
        <v>38</v>
      </c>
      <c r="F877" t="str">
        <f>"0000983"</f>
        <v>0000983</v>
      </c>
      <c r="G877">
        <v>1</v>
      </c>
      <c r="H877" t="str">
        <f>"00000000"</f>
        <v>00000000</v>
      </c>
      <c r="I877" t="s">
        <v>39</v>
      </c>
      <c r="J877"/>
      <c r="K877">
        <v>355.93</v>
      </c>
      <c r="L877">
        <v>0.0</v>
      </c>
      <c r="M877"/>
      <c r="N877"/>
      <c r="O877">
        <v>64.07</v>
      </c>
      <c r="P877">
        <v>0.0</v>
      </c>
      <c r="Q877">
        <v>420.0</v>
      </c>
      <c r="R877"/>
      <c r="S877"/>
      <c r="T877"/>
      <c r="U877"/>
      <c r="V877"/>
      <c r="W877">
        <v>18</v>
      </c>
    </row>
    <row r="878" spans="1:23">
      <c r="A878"/>
      <c r="B878" t="s">
        <v>81</v>
      </c>
      <c r="C878" t="s">
        <v>81</v>
      </c>
      <c r="D878" t="s">
        <v>37</v>
      </c>
      <c r="E878" t="s">
        <v>38</v>
      </c>
      <c r="F878" t="str">
        <f>"0000984"</f>
        <v>0000984</v>
      </c>
      <c r="G878">
        <v>1</v>
      </c>
      <c r="H878" t="str">
        <f>"00000000"</f>
        <v>00000000</v>
      </c>
      <c r="I878" t="s">
        <v>39</v>
      </c>
      <c r="J878"/>
      <c r="K878">
        <v>296.61</v>
      </c>
      <c r="L878">
        <v>0.0</v>
      </c>
      <c r="M878"/>
      <c r="N878"/>
      <c r="O878">
        <v>53.39</v>
      </c>
      <c r="P878">
        <v>0.0</v>
      </c>
      <c r="Q878">
        <v>350.0</v>
      </c>
      <c r="R878"/>
      <c r="S878"/>
      <c r="T878"/>
      <c r="U878"/>
      <c r="V878"/>
      <c r="W878">
        <v>18</v>
      </c>
    </row>
    <row r="879" spans="1:23">
      <c r="A879"/>
      <c r="B879" t="s">
        <v>81</v>
      </c>
      <c r="C879" t="s">
        <v>81</v>
      </c>
      <c r="D879" t="s">
        <v>37</v>
      </c>
      <c r="E879" t="s">
        <v>38</v>
      </c>
      <c r="F879" t="str">
        <f>"0000985"</f>
        <v>0000985</v>
      </c>
      <c r="G879">
        <v>1</v>
      </c>
      <c r="H879" t="str">
        <f>"00000000"</f>
        <v>00000000</v>
      </c>
      <c r="I879" t="s">
        <v>39</v>
      </c>
      <c r="J879"/>
      <c r="K879">
        <v>296.61</v>
      </c>
      <c r="L879">
        <v>0.0</v>
      </c>
      <c r="M879"/>
      <c r="N879"/>
      <c r="O879">
        <v>53.39</v>
      </c>
      <c r="P879">
        <v>0.0</v>
      </c>
      <c r="Q879">
        <v>350.0</v>
      </c>
      <c r="R879"/>
      <c r="S879"/>
      <c r="T879"/>
      <c r="U879"/>
      <c r="V879"/>
      <c r="W879">
        <v>18</v>
      </c>
    </row>
    <row r="880" spans="1:23">
      <c r="A880"/>
      <c r="B880" t="s">
        <v>81</v>
      </c>
      <c r="C880" t="s">
        <v>81</v>
      </c>
      <c r="D880" t="s">
        <v>37</v>
      </c>
      <c r="E880" t="s">
        <v>38</v>
      </c>
      <c r="F880" t="str">
        <f>"0000986"</f>
        <v>0000986</v>
      </c>
      <c r="G880">
        <v>1</v>
      </c>
      <c r="H880" t="str">
        <f>"00000000"</f>
        <v>00000000</v>
      </c>
      <c r="I880" t="s">
        <v>39</v>
      </c>
      <c r="J880"/>
      <c r="K880">
        <v>275.42</v>
      </c>
      <c r="L880">
        <v>0.0</v>
      </c>
      <c r="M880"/>
      <c r="N880"/>
      <c r="O880">
        <v>49.58</v>
      </c>
      <c r="P880">
        <v>0.0</v>
      </c>
      <c r="Q880">
        <v>325.0</v>
      </c>
      <c r="R880"/>
      <c r="S880"/>
      <c r="T880"/>
      <c r="U880"/>
      <c r="V880"/>
      <c r="W880">
        <v>18</v>
      </c>
    </row>
    <row r="881" spans="1:23">
      <c r="A881"/>
      <c r="B881" t="s">
        <v>81</v>
      </c>
      <c r="C881" t="s">
        <v>81</v>
      </c>
      <c r="D881" t="s">
        <v>37</v>
      </c>
      <c r="E881" t="s">
        <v>38</v>
      </c>
      <c r="F881" t="str">
        <f>"0000987"</f>
        <v>0000987</v>
      </c>
      <c r="G881">
        <v>1</v>
      </c>
      <c r="H881" t="str">
        <f>"00000000"</f>
        <v>00000000</v>
      </c>
      <c r="I881" t="s">
        <v>39</v>
      </c>
      <c r="J881"/>
      <c r="K881">
        <v>360.17</v>
      </c>
      <c r="L881">
        <v>0.0</v>
      </c>
      <c r="M881"/>
      <c r="N881"/>
      <c r="O881">
        <v>64.83</v>
      </c>
      <c r="P881">
        <v>0.0</v>
      </c>
      <c r="Q881">
        <v>425.0</v>
      </c>
      <c r="R881"/>
      <c r="S881"/>
      <c r="T881"/>
      <c r="U881"/>
      <c r="V881"/>
      <c r="W881">
        <v>18</v>
      </c>
    </row>
    <row r="882" spans="1:23">
      <c r="A882"/>
      <c r="B882" t="s">
        <v>81</v>
      </c>
      <c r="C882" t="s">
        <v>81</v>
      </c>
      <c r="D882" t="s">
        <v>37</v>
      </c>
      <c r="E882" t="s">
        <v>38</v>
      </c>
      <c r="F882" t="str">
        <f>"0000988"</f>
        <v>0000988</v>
      </c>
      <c r="G882">
        <v>1</v>
      </c>
      <c r="H882" t="str">
        <f>"00000000"</f>
        <v>00000000</v>
      </c>
      <c r="I882" t="s">
        <v>39</v>
      </c>
      <c r="J882"/>
      <c r="K882">
        <v>211.86</v>
      </c>
      <c r="L882">
        <v>0.0</v>
      </c>
      <c r="M882"/>
      <c r="N882"/>
      <c r="O882">
        <v>38.14</v>
      </c>
      <c r="P882">
        <v>0.0</v>
      </c>
      <c r="Q882">
        <v>250.0</v>
      </c>
      <c r="R882"/>
      <c r="S882"/>
      <c r="T882"/>
      <c r="U882"/>
      <c r="V882"/>
      <c r="W882">
        <v>18</v>
      </c>
    </row>
    <row r="883" spans="1:23">
      <c r="A883"/>
      <c r="B883" t="s">
        <v>81</v>
      </c>
      <c r="C883" t="s">
        <v>81</v>
      </c>
      <c r="D883" t="s">
        <v>37</v>
      </c>
      <c r="E883" t="s">
        <v>38</v>
      </c>
      <c r="F883" t="str">
        <f>"0000989"</f>
        <v>0000989</v>
      </c>
      <c r="G883">
        <v>1</v>
      </c>
      <c r="H883" t="str">
        <f>"00000000"</f>
        <v>00000000</v>
      </c>
      <c r="I883" t="s">
        <v>39</v>
      </c>
      <c r="J883"/>
      <c r="K883">
        <v>296.61</v>
      </c>
      <c r="L883">
        <v>0.0</v>
      </c>
      <c r="M883"/>
      <c r="N883"/>
      <c r="O883">
        <v>53.39</v>
      </c>
      <c r="P883">
        <v>0.0</v>
      </c>
      <c r="Q883">
        <v>350.0</v>
      </c>
      <c r="R883"/>
      <c r="S883"/>
      <c r="T883"/>
      <c r="U883"/>
      <c r="V883"/>
      <c r="W883">
        <v>18</v>
      </c>
    </row>
    <row r="884" spans="1:23">
      <c r="A884"/>
      <c r="B884" t="s">
        <v>81</v>
      </c>
      <c r="C884" t="s">
        <v>81</v>
      </c>
      <c r="D884" t="s">
        <v>37</v>
      </c>
      <c r="E884" t="s">
        <v>38</v>
      </c>
      <c r="F884" t="str">
        <f>"0000990"</f>
        <v>0000990</v>
      </c>
      <c r="G884">
        <v>1</v>
      </c>
      <c r="H884" t="str">
        <f>"00000000"</f>
        <v>00000000</v>
      </c>
      <c r="I884" t="s">
        <v>39</v>
      </c>
      <c r="J884"/>
      <c r="K884">
        <v>262.71</v>
      </c>
      <c r="L884">
        <v>0.0</v>
      </c>
      <c r="M884"/>
      <c r="N884"/>
      <c r="O884">
        <v>47.29</v>
      </c>
      <c r="P884">
        <v>0.0</v>
      </c>
      <c r="Q884">
        <v>310.0</v>
      </c>
      <c r="R884"/>
      <c r="S884"/>
      <c r="T884"/>
      <c r="U884"/>
      <c r="V884"/>
      <c r="W884">
        <v>18</v>
      </c>
    </row>
    <row r="885" spans="1:23">
      <c r="A885"/>
      <c r="B885" t="s">
        <v>81</v>
      </c>
      <c r="C885" t="s">
        <v>81</v>
      </c>
      <c r="D885" t="s">
        <v>37</v>
      </c>
      <c r="E885" t="s">
        <v>38</v>
      </c>
      <c r="F885" t="str">
        <f>"0000991"</f>
        <v>0000991</v>
      </c>
      <c r="G885">
        <v>1</v>
      </c>
      <c r="H885" t="str">
        <f>"00000000"</f>
        <v>00000000</v>
      </c>
      <c r="I885" t="s">
        <v>39</v>
      </c>
      <c r="J885"/>
      <c r="K885">
        <v>360.17</v>
      </c>
      <c r="L885">
        <v>0.0</v>
      </c>
      <c r="M885"/>
      <c r="N885"/>
      <c r="O885">
        <v>64.83</v>
      </c>
      <c r="P885">
        <v>0.0</v>
      </c>
      <c r="Q885">
        <v>425.0</v>
      </c>
      <c r="R885"/>
      <c r="S885"/>
      <c r="T885"/>
      <c r="U885"/>
      <c r="V885"/>
      <c r="W885">
        <v>18</v>
      </c>
    </row>
    <row r="886" spans="1:23">
      <c r="A886"/>
      <c r="B886" t="s">
        <v>81</v>
      </c>
      <c r="C886" t="s">
        <v>81</v>
      </c>
      <c r="D886" t="s">
        <v>37</v>
      </c>
      <c r="E886" t="s">
        <v>38</v>
      </c>
      <c r="F886" t="str">
        <f>"0000992"</f>
        <v>0000992</v>
      </c>
      <c r="G886">
        <v>1</v>
      </c>
      <c r="H886" t="str">
        <f>"00000000"</f>
        <v>00000000</v>
      </c>
      <c r="I886" t="s">
        <v>39</v>
      </c>
      <c r="J886"/>
      <c r="K886">
        <v>254.24</v>
      </c>
      <c r="L886">
        <v>0.0</v>
      </c>
      <c r="M886"/>
      <c r="N886"/>
      <c r="O886">
        <v>45.76</v>
      </c>
      <c r="P886">
        <v>0.0</v>
      </c>
      <c r="Q886">
        <v>300.0</v>
      </c>
      <c r="R886"/>
      <c r="S886"/>
      <c r="T886"/>
      <c r="U886"/>
      <c r="V886"/>
      <c r="W886">
        <v>18</v>
      </c>
    </row>
    <row r="887" spans="1:23">
      <c r="A887"/>
      <c r="B887" t="s">
        <v>81</v>
      </c>
      <c r="C887" t="s">
        <v>81</v>
      </c>
      <c r="D887" t="s">
        <v>37</v>
      </c>
      <c r="E887" t="s">
        <v>38</v>
      </c>
      <c r="F887" t="str">
        <f>"0000993"</f>
        <v>0000993</v>
      </c>
      <c r="G887">
        <v>1</v>
      </c>
      <c r="H887" t="str">
        <f>"00000000"</f>
        <v>00000000</v>
      </c>
      <c r="I887" t="s">
        <v>39</v>
      </c>
      <c r="J887"/>
      <c r="K887">
        <v>381.36</v>
      </c>
      <c r="L887">
        <v>0.0</v>
      </c>
      <c r="M887"/>
      <c r="N887"/>
      <c r="O887">
        <v>68.64</v>
      </c>
      <c r="P887">
        <v>0.0</v>
      </c>
      <c r="Q887">
        <v>450.0</v>
      </c>
      <c r="R887"/>
      <c r="S887"/>
      <c r="T887"/>
      <c r="U887"/>
      <c r="V887"/>
      <c r="W887">
        <v>18</v>
      </c>
    </row>
    <row r="888" spans="1:23">
      <c r="A888"/>
      <c r="B888" t="s">
        <v>81</v>
      </c>
      <c r="C888" t="s">
        <v>81</v>
      </c>
      <c r="D888" t="s">
        <v>37</v>
      </c>
      <c r="E888" t="s">
        <v>38</v>
      </c>
      <c r="F888" t="str">
        <f>"0000994"</f>
        <v>0000994</v>
      </c>
      <c r="G888">
        <v>1</v>
      </c>
      <c r="H888" t="str">
        <f>"00000000"</f>
        <v>00000000</v>
      </c>
      <c r="I888" t="s">
        <v>39</v>
      </c>
      <c r="J888"/>
      <c r="K888">
        <v>296.61</v>
      </c>
      <c r="L888">
        <v>0.0</v>
      </c>
      <c r="M888"/>
      <c r="N888"/>
      <c r="O888">
        <v>53.39</v>
      </c>
      <c r="P888">
        <v>0.0</v>
      </c>
      <c r="Q888">
        <v>350.0</v>
      </c>
      <c r="R888"/>
      <c r="S888"/>
      <c r="T888"/>
      <c r="U888"/>
      <c r="V888"/>
      <c r="W888">
        <v>18</v>
      </c>
    </row>
    <row r="889" spans="1:23">
      <c r="A889"/>
      <c r="B889" t="s">
        <v>81</v>
      </c>
      <c r="C889" t="s">
        <v>81</v>
      </c>
      <c r="D889" t="s">
        <v>37</v>
      </c>
      <c r="E889" t="s">
        <v>38</v>
      </c>
      <c r="F889" t="str">
        <f>"0000995"</f>
        <v>0000995</v>
      </c>
      <c r="G889">
        <v>1</v>
      </c>
      <c r="H889" t="str">
        <f>"00000000"</f>
        <v>00000000</v>
      </c>
      <c r="I889" t="s">
        <v>39</v>
      </c>
      <c r="J889"/>
      <c r="K889">
        <v>296.61</v>
      </c>
      <c r="L889">
        <v>0.0</v>
      </c>
      <c r="M889"/>
      <c r="N889"/>
      <c r="O889">
        <v>53.39</v>
      </c>
      <c r="P889">
        <v>0.0</v>
      </c>
      <c r="Q889">
        <v>350.0</v>
      </c>
      <c r="R889"/>
      <c r="S889"/>
      <c r="T889"/>
      <c r="U889"/>
      <c r="V889"/>
      <c r="W889">
        <v>18</v>
      </c>
    </row>
    <row r="890" spans="1:23">
      <c r="A890"/>
      <c r="B890" t="s">
        <v>82</v>
      </c>
      <c r="C890" t="s">
        <v>82</v>
      </c>
      <c r="D890" t="s">
        <v>37</v>
      </c>
      <c r="E890" t="s">
        <v>38</v>
      </c>
      <c r="F890" t="str">
        <f>"0000996"</f>
        <v>0000996</v>
      </c>
      <c r="G890">
        <v>1</v>
      </c>
      <c r="H890" t="str">
        <f>"00000000"</f>
        <v>00000000</v>
      </c>
      <c r="I890" t="s">
        <v>39</v>
      </c>
      <c r="J890"/>
      <c r="K890">
        <v>372.88</v>
      </c>
      <c r="L890">
        <v>0.0</v>
      </c>
      <c r="M890"/>
      <c r="N890"/>
      <c r="O890">
        <v>67.12</v>
      </c>
      <c r="P890">
        <v>0.0</v>
      </c>
      <c r="Q890">
        <v>440.0</v>
      </c>
      <c r="R890"/>
      <c r="S890"/>
      <c r="T890"/>
      <c r="U890"/>
      <c r="V890"/>
      <c r="W890">
        <v>18</v>
      </c>
    </row>
    <row r="891" spans="1:23">
      <c r="A891"/>
      <c r="B891" t="s">
        <v>82</v>
      </c>
      <c r="C891" t="s">
        <v>82</v>
      </c>
      <c r="D891" t="s">
        <v>37</v>
      </c>
      <c r="E891" t="s">
        <v>38</v>
      </c>
      <c r="F891" t="str">
        <f>"0000997"</f>
        <v>0000997</v>
      </c>
      <c r="G891">
        <v>1</v>
      </c>
      <c r="H891" t="str">
        <f>"00000000"</f>
        <v>00000000</v>
      </c>
      <c r="I891" t="s">
        <v>39</v>
      </c>
      <c r="J891"/>
      <c r="K891">
        <v>381.36</v>
      </c>
      <c r="L891">
        <v>0.0</v>
      </c>
      <c r="M891"/>
      <c r="N891"/>
      <c r="O891">
        <v>68.64</v>
      </c>
      <c r="P891">
        <v>0.0</v>
      </c>
      <c r="Q891">
        <v>450.0</v>
      </c>
      <c r="R891"/>
      <c r="S891"/>
      <c r="T891"/>
      <c r="U891"/>
      <c r="V891"/>
      <c r="W891">
        <v>18</v>
      </c>
    </row>
    <row r="892" spans="1:23">
      <c r="A892"/>
      <c r="B892" t="s">
        <v>82</v>
      </c>
      <c r="C892" t="s">
        <v>82</v>
      </c>
      <c r="D892" t="s">
        <v>37</v>
      </c>
      <c r="E892" t="s">
        <v>38</v>
      </c>
      <c r="F892" t="str">
        <f>"0000998"</f>
        <v>0000998</v>
      </c>
      <c r="G892">
        <v>1</v>
      </c>
      <c r="H892" t="str">
        <f>"00000000"</f>
        <v>00000000</v>
      </c>
      <c r="I892" t="s">
        <v>39</v>
      </c>
      <c r="J892"/>
      <c r="K892">
        <v>254.24</v>
      </c>
      <c r="L892">
        <v>0.0</v>
      </c>
      <c r="M892"/>
      <c r="N892"/>
      <c r="O892">
        <v>45.76</v>
      </c>
      <c r="P892">
        <v>0.0</v>
      </c>
      <c r="Q892">
        <v>300.0</v>
      </c>
      <c r="R892"/>
      <c r="S892"/>
      <c r="T892"/>
      <c r="U892"/>
      <c r="V892"/>
      <c r="W892">
        <v>18</v>
      </c>
    </row>
    <row r="893" spans="1:23">
      <c r="A893"/>
      <c r="B893" t="s">
        <v>82</v>
      </c>
      <c r="C893" t="s">
        <v>82</v>
      </c>
      <c r="D893" t="s">
        <v>37</v>
      </c>
      <c r="E893" t="s">
        <v>38</v>
      </c>
      <c r="F893" t="str">
        <f>"0000999"</f>
        <v>0000999</v>
      </c>
      <c r="G893">
        <v>1</v>
      </c>
      <c r="H893" t="str">
        <f>"00000000"</f>
        <v>00000000</v>
      </c>
      <c r="I893" t="s">
        <v>39</v>
      </c>
      <c r="J893"/>
      <c r="K893">
        <v>338.98</v>
      </c>
      <c r="L893">
        <v>0.0</v>
      </c>
      <c r="M893"/>
      <c r="N893"/>
      <c r="O893">
        <v>61.02</v>
      </c>
      <c r="P893">
        <v>0.0</v>
      </c>
      <c r="Q893">
        <v>400.0</v>
      </c>
      <c r="R893"/>
      <c r="S893"/>
      <c r="T893"/>
      <c r="U893"/>
      <c r="V893"/>
      <c r="W893">
        <v>18</v>
      </c>
    </row>
    <row r="894" spans="1:23">
      <c r="A894"/>
      <c r="B894" t="s">
        <v>82</v>
      </c>
      <c r="C894" t="s">
        <v>82</v>
      </c>
      <c r="D894" t="s">
        <v>37</v>
      </c>
      <c r="E894" t="s">
        <v>38</v>
      </c>
      <c r="F894" t="str">
        <f>"0001000"</f>
        <v>0001000</v>
      </c>
      <c r="G894">
        <v>1</v>
      </c>
      <c r="H894" t="str">
        <f>"00000000"</f>
        <v>00000000</v>
      </c>
      <c r="I894" t="s">
        <v>39</v>
      </c>
      <c r="J894"/>
      <c r="K894">
        <v>296.61</v>
      </c>
      <c r="L894">
        <v>0.0</v>
      </c>
      <c r="M894"/>
      <c r="N894"/>
      <c r="O894">
        <v>53.39</v>
      </c>
      <c r="P894">
        <v>0.0</v>
      </c>
      <c r="Q894">
        <v>350.0</v>
      </c>
      <c r="R894"/>
      <c r="S894"/>
      <c r="T894"/>
      <c r="U894"/>
      <c r="V894"/>
      <c r="W894">
        <v>18</v>
      </c>
    </row>
    <row r="895" spans="1:23">
      <c r="A895"/>
      <c r="B895" t="s">
        <v>82</v>
      </c>
      <c r="C895" t="s">
        <v>82</v>
      </c>
      <c r="D895" t="s">
        <v>37</v>
      </c>
      <c r="E895" t="s">
        <v>38</v>
      </c>
      <c r="F895" t="str">
        <f>"0001001"</f>
        <v>0001001</v>
      </c>
      <c r="G895">
        <v>1</v>
      </c>
      <c r="H895" t="str">
        <f>"00000000"</f>
        <v>00000000</v>
      </c>
      <c r="I895" t="s">
        <v>39</v>
      </c>
      <c r="J895"/>
      <c r="K895">
        <v>279.66</v>
      </c>
      <c r="L895">
        <v>0.0</v>
      </c>
      <c r="M895"/>
      <c r="N895"/>
      <c r="O895">
        <v>50.34</v>
      </c>
      <c r="P895">
        <v>0.0</v>
      </c>
      <c r="Q895">
        <v>330.0</v>
      </c>
      <c r="R895"/>
      <c r="S895"/>
      <c r="T895"/>
      <c r="U895"/>
      <c r="V895"/>
      <c r="W895">
        <v>18</v>
      </c>
    </row>
    <row r="896" spans="1:23">
      <c r="A896"/>
      <c r="B896" t="s">
        <v>82</v>
      </c>
      <c r="C896" t="s">
        <v>82</v>
      </c>
      <c r="D896" t="s">
        <v>37</v>
      </c>
      <c r="E896" t="s">
        <v>38</v>
      </c>
      <c r="F896" t="str">
        <f>"0001002"</f>
        <v>0001002</v>
      </c>
      <c r="G896">
        <v>1</v>
      </c>
      <c r="H896" t="str">
        <f>"00000000"</f>
        <v>00000000</v>
      </c>
      <c r="I896" t="s">
        <v>39</v>
      </c>
      <c r="J896"/>
      <c r="K896">
        <v>423.73</v>
      </c>
      <c r="L896">
        <v>0.0</v>
      </c>
      <c r="M896"/>
      <c r="N896"/>
      <c r="O896">
        <v>76.27</v>
      </c>
      <c r="P896">
        <v>0.0</v>
      </c>
      <c r="Q896">
        <v>500.0</v>
      </c>
      <c r="R896"/>
      <c r="S896"/>
      <c r="T896"/>
      <c r="U896"/>
      <c r="V896"/>
      <c r="W896">
        <v>18</v>
      </c>
    </row>
    <row r="897" spans="1:23">
      <c r="A897"/>
      <c r="B897" t="s">
        <v>82</v>
      </c>
      <c r="C897" t="s">
        <v>82</v>
      </c>
      <c r="D897" t="s">
        <v>37</v>
      </c>
      <c r="E897" t="s">
        <v>38</v>
      </c>
      <c r="F897" t="str">
        <f>"0001003"</f>
        <v>0001003</v>
      </c>
      <c r="G897">
        <v>1</v>
      </c>
      <c r="H897" t="str">
        <f>"00000000"</f>
        <v>00000000</v>
      </c>
      <c r="I897" t="s">
        <v>39</v>
      </c>
      <c r="J897"/>
      <c r="K897">
        <v>296.61</v>
      </c>
      <c r="L897">
        <v>0.0</v>
      </c>
      <c r="M897"/>
      <c r="N897"/>
      <c r="O897">
        <v>53.39</v>
      </c>
      <c r="P897">
        <v>0.0</v>
      </c>
      <c r="Q897">
        <v>350.0</v>
      </c>
      <c r="R897"/>
      <c r="S897"/>
      <c r="T897"/>
      <c r="U897"/>
      <c r="V897"/>
      <c r="W897">
        <v>18</v>
      </c>
    </row>
    <row r="898" spans="1:23">
      <c r="A898"/>
      <c r="B898" t="s">
        <v>82</v>
      </c>
      <c r="C898" t="s">
        <v>82</v>
      </c>
      <c r="D898" t="s">
        <v>37</v>
      </c>
      <c r="E898" t="s">
        <v>38</v>
      </c>
      <c r="F898" t="str">
        <f>"0001004"</f>
        <v>0001004</v>
      </c>
      <c r="G898">
        <v>1</v>
      </c>
      <c r="H898" t="str">
        <f>"00000000"</f>
        <v>00000000</v>
      </c>
      <c r="I898" t="s">
        <v>39</v>
      </c>
      <c r="J898"/>
      <c r="K898">
        <v>254.24</v>
      </c>
      <c r="L898">
        <v>0.0</v>
      </c>
      <c r="M898"/>
      <c r="N898"/>
      <c r="O898">
        <v>45.76</v>
      </c>
      <c r="P898">
        <v>0.0</v>
      </c>
      <c r="Q898">
        <v>300.0</v>
      </c>
      <c r="R898"/>
      <c r="S898"/>
      <c r="T898"/>
      <c r="U898"/>
      <c r="V898"/>
      <c r="W898">
        <v>18</v>
      </c>
    </row>
    <row r="899" spans="1:23">
      <c r="A899"/>
      <c r="B899" t="s">
        <v>82</v>
      </c>
      <c r="C899" t="s">
        <v>82</v>
      </c>
      <c r="D899" t="s">
        <v>37</v>
      </c>
      <c r="E899" t="s">
        <v>38</v>
      </c>
      <c r="F899" t="str">
        <f>"0001005"</f>
        <v>0001005</v>
      </c>
      <c r="G899">
        <v>1</v>
      </c>
      <c r="H899" t="str">
        <f>"00000000"</f>
        <v>00000000</v>
      </c>
      <c r="I899" t="s">
        <v>39</v>
      </c>
      <c r="J899"/>
      <c r="K899">
        <v>355.93</v>
      </c>
      <c r="L899">
        <v>0.0</v>
      </c>
      <c r="M899"/>
      <c r="N899"/>
      <c r="O899">
        <v>64.07</v>
      </c>
      <c r="P899">
        <v>0.0</v>
      </c>
      <c r="Q899">
        <v>420.0</v>
      </c>
      <c r="R899"/>
      <c r="S899"/>
      <c r="T899"/>
      <c r="U899"/>
      <c r="V899"/>
      <c r="W899">
        <v>18</v>
      </c>
    </row>
    <row r="900" spans="1:23">
      <c r="A900"/>
      <c r="B900" t="s">
        <v>82</v>
      </c>
      <c r="C900" t="s">
        <v>82</v>
      </c>
      <c r="D900" t="s">
        <v>37</v>
      </c>
      <c r="E900" t="s">
        <v>38</v>
      </c>
      <c r="F900" t="str">
        <f>"0001006"</f>
        <v>0001006</v>
      </c>
      <c r="G900">
        <v>1</v>
      </c>
      <c r="H900" t="str">
        <f>"00000000"</f>
        <v>00000000</v>
      </c>
      <c r="I900" t="s">
        <v>39</v>
      </c>
      <c r="J900"/>
      <c r="K900">
        <v>177.97</v>
      </c>
      <c r="L900">
        <v>0.0</v>
      </c>
      <c r="M900"/>
      <c r="N900"/>
      <c r="O900">
        <v>32.03</v>
      </c>
      <c r="P900">
        <v>0.0</v>
      </c>
      <c r="Q900">
        <v>210.0</v>
      </c>
      <c r="R900"/>
      <c r="S900"/>
      <c r="T900"/>
      <c r="U900"/>
      <c r="V900"/>
      <c r="W900">
        <v>18</v>
      </c>
    </row>
    <row r="901" spans="1:23">
      <c r="A901"/>
      <c r="B901" t="s">
        <v>82</v>
      </c>
      <c r="C901" t="s">
        <v>82</v>
      </c>
      <c r="D901" t="s">
        <v>37</v>
      </c>
      <c r="E901" t="s">
        <v>38</v>
      </c>
      <c r="F901" t="str">
        <f>"0001007"</f>
        <v>0001007</v>
      </c>
      <c r="G901">
        <v>1</v>
      </c>
      <c r="H901" t="str">
        <f>"00000000"</f>
        <v>00000000</v>
      </c>
      <c r="I901" t="s">
        <v>39</v>
      </c>
      <c r="J901"/>
      <c r="K901">
        <v>381.36</v>
      </c>
      <c r="L901">
        <v>0.0</v>
      </c>
      <c r="M901"/>
      <c r="N901"/>
      <c r="O901">
        <v>68.64</v>
      </c>
      <c r="P901">
        <v>0.0</v>
      </c>
      <c r="Q901">
        <v>450.0</v>
      </c>
      <c r="R901"/>
      <c r="S901"/>
      <c r="T901"/>
      <c r="U901"/>
      <c r="V901"/>
      <c r="W901">
        <v>18</v>
      </c>
    </row>
    <row r="902" spans="1:23">
      <c r="A902"/>
      <c r="B902" t="s">
        <v>82</v>
      </c>
      <c r="C902" t="s">
        <v>82</v>
      </c>
      <c r="D902" t="s">
        <v>37</v>
      </c>
      <c r="E902" t="s">
        <v>38</v>
      </c>
      <c r="F902" t="str">
        <f>"0001008"</f>
        <v>0001008</v>
      </c>
      <c r="G902">
        <v>1</v>
      </c>
      <c r="H902" t="str">
        <f>"00000000"</f>
        <v>00000000</v>
      </c>
      <c r="I902" t="s">
        <v>39</v>
      </c>
      <c r="J902"/>
      <c r="K902">
        <v>211.86</v>
      </c>
      <c r="L902">
        <v>0.0</v>
      </c>
      <c r="M902"/>
      <c r="N902"/>
      <c r="O902">
        <v>38.14</v>
      </c>
      <c r="P902">
        <v>0.0</v>
      </c>
      <c r="Q902">
        <v>250.0</v>
      </c>
      <c r="R902"/>
      <c r="S902"/>
      <c r="T902"/>
      <c r="U902"/>
      <c r="V902"/>
      <c r="W902">
        <v>18</v>
      </c>
    </row>
    <row r="903" spans="1:23">
      <c r="A903"/>
      <c r="B903" t="s">
        <v>82</v>
      </c>
      <c r="C903" t="s">
        <v>82</v>
      </c>
      <c r="D903" t="s">
        <v>37</v>
      </c>
      <c r="E903" t="s">
        <v>38</v>
      </c>
      <c r="F903" t="str">
        <f>"0001009"</f>
        <v>0001009</v>
      </c>
      <c r="G903">
        <v>1</v>
      </c>
      <c r="H903" t="str">
        <f>"00000000"</f>
        <v>00000000</v>
      </c>
      <c r="I903" t="s">
        <v>39</v>
      </c>
      <c r="J903"/>
      <c r="K903">
        <v>275.42</v>
      </c>
      <c r="L903">
        <v>0.0</v>
      </c>
      <c r="M903"/>
      <c r="N903"/>
      <c r="O903">
        <v>49.58</v>
      </c>
      <c r="P903">
        <v>0.0</v>
      </c>
      <c r="Q903">
        <v>325.0</v>
      </c>
      <c r="R903"/>
      <c r="S903"/>
      <c r="T903"/>
      <c r="U903"/>
      <c r="V903"/>
      <c r="W903">
        <v>18</v>
      </c>
    </row>
    <row r="904" spans="1:23">
      <c r="A904"/>
      <c r="B904" t="s">
        <v>82</v>
      </c>
      <c r="C904" t="s">
        <v>82</v>
      </c>
      <c r="D904" t="s">
        <v>37</v>
      </c>
      <c r="E904" t="s">
        <v>38</v>
      </c>
      <c r="F904" t="str">
        <f>"0001010"</f>
        <v>0001010</v>
      </c>
      <c r="G904">
        <v>1</v>
      </c>
      <c r="H904" t="str">
        <f>"00000000"</f>
        <v>00000000</v>
      </c>
      <c r="I904" t="s">
        <v>39</v>
      </c>
      <c r="J904"/>
      <c r="K904">
        <v>330.51</v>
      </c>
      <c r="L904">
        <v>0.0</v>
      </c>
      <c r="M904"/>
      <c r="N904"/>
      <c r="O904">
        <v>59.49</v>
      </c>
      <c r="P904">
        <v>0.0</v>
      </c>
      <c r="Q904">
        <v>390.0</v>
      </c>
      <c r="R904"/>
      <c r="S904"/>
      <c r="T904"/>
      <c r="U904"/>
      <c r="V904"/>
      <c r="W904">
        <v>18</v>
      </c>
    </row>
    <row r="905" spans="1:23">
      <c r="A905"/>
      <c r="B905" t="s">
        <v>82</v>
      </c>
      <c r="C905" t="s">
        <v>82</v>
      </c>
      <c r="D905" t="s">
        <v>37</v>
      </c>
      <c r="E905" t="s">
        <v>38</v>
      </c>
      <c r="F905" t="str">
        <f>"0001011"</f>
        <v>0001011</v>
      </c>
      <c r="G905">
        <v>1</v>
      </c>
      <c r="H905" t="str">
        <f>"00000000"</f>
        <v>00000000</v>
      </c>
      <c r="I905" t="s">
        <v>39</v>
      </c>
      <c r="J905"/>
      <c r="K905">
        <v>372.88</v>
      </c>
      <c r="L905">
        <v>0.0</v>
      </c>
      <c r="M905"/>
      <c r="N905"/>
      <c r="O905">
        <v>67.12</v>
      </c>
      <c r="P905">
        <v>0.0</v>
      </c>
      <c r="Q905">
        <v>440.0</v>
      </c>
      <c r="R905"/>
      <c r="S905"/>
      <c r="T905"/>
      <c r="U905"/>
      <c r="V905"/>
      <c r="W905">
        <v>18</v>
      </c>
    </row>
    <row r="906" spans="1:23">
      <c r="A906"/>
      <c r="B906" t="s">
        <v>82</v>
      </c>
      <c r="C906" t="s">
        <v>82</v>
      </c>
      <c r="D906" t="s">
        <v>37</v>
      </c>
      <c r="E906" t="s">
        <v>38</v>
      </c>
      <c r="F906" t="str">
        <f>"0001012"</f>
        <v>0001012</v>
      </c>
      <c r="G906">
        <v>1</v>
      </c>
      <c r="H906" t="str">
        <f>"00000000"</f>
        <v>00000000</v>
      </c>
      <c r="I906" t="s">
        <v>39</v>
      </c>
      <c r="J906"/>
      <c r="K906">
        <v>296.61</v>
      </c>
      <c r="L906">
        <v>0.0</v>
      </c>
      <c r="M906"/>
      <c r="N906"/>
      <c r="O906">
        <v>53.39</v>
      </c>
      <c r="P906">
        <v>0.0</v>
      </c>
      <c r="Q906">
        <v>350.0</v>
      </c>
      <c r="R906"/>
      <c r="S906"/>
      <c r="T906"/>
      <c r="U906"/>
      <c r="V906"/>
      <c r="W906">
        <v>18</v>
      </c>
    </row>
    <row r="907" spans="1:23">
      <c r="A907"/>
      <c r="B907" t="s">
        <v>82</v>
      </c>
      <c r="C907" t="s">
        <v>82</v>
      </c>
      <c r="D907" t="s">
        <v>37</v>
      </c>
      <c r="E907" t="s">
        <v>38</v>
      </c>
      <c r="F907" t="str">
        <f>"0001013"</f>
        <v>0001013</v>
      </c>
      <c r="G907">
        <v>1</v>
      </c>
      <c r="H907" t="str">
        <f>"00000000"</f>
        <v>00000000</v>
      </c>
      <c r="I907" t="s">
        <v>39</v>
      </c>
      <c r="J907"/>
      <c r="K907">
        <v>203.39</v>
      </c>
      <c r="L907">
        <v>0.0</v>
      </c>
      <c r="M907"/>
      <c r="N907"/>
      <c r="O907">
        <v>36.61</v>
      </c>
      <c r="P907">
        <v>0.0</v>
      </c>
      <c r="Q907">
        <v>240.0</v>
      </c>
      <c r="R907"/>
      <c r="S907"/>
      <c r="T907"/>
      <c r="U907"/>
      <c r="V907"/>
      <c r="W907">
        <v>18</v>
      </c>
    </row>
    <row r="908" spans="1:23">
      <c r="A908"/>
      <c r="B908" t="s">
        <v>82</v>
      </c>
      <c r="C908" t="s">
        <v>82</v>
      </c>
      <c r="D908" t="s">
        <v>37</v>
      </c>
      <c r="E908" t="s">
        <v>38</v>
      </c>
      <c r="F908" t="str">
        <f>"0001014"</f>
        <v>0001014</v>
      </c>
      <c r="G908">
        <v>1</v>
      </c>
      <c r="H908" t="str">
        <f>"00000000"</f>
        <v>00000000</v>
      </c>
      <c r="I908" t="s">
        <v>39</v>
      </c>
      <c r="J908"/>
      <c r="K908">
        <v>296.61</v>
      </c>
      <c r="L908">
        <v>0.0</v>
      </c>
      <c r="M908"/>
      <c r="N908"/>
      <c r="O908">
        <v>53.39</v>
      </c>
      <c r="P908">
        <v>0.0</v>
      </c>
      <c r="Q908">
        <v>350.0</v>
      </c>
      <c r="R908"/>
      <c r="S908"/>
      <c r="T908"/>
      <c r="U908"/>
      <c r="V908"/>
      <c r="W908">
        <v>18</v>
      </c>
    </row>
    <row r="909" spans="1:23">
      <c r="A909"/>
      <c r="B909" t="s">
        <v>82</v>
      </c>
      <c r="C909" t="s">
        <v>82</v>
      </c>
      <c r="D909" t="s">
        <v>37</v>
      </c>
      <c r="E909" t="s">
        <v>38</v>
      </c>
      <c r="F909" t="str">
        <f>"0001015"</f>
        <v>0001015</v>
      </c>
      <c r="G909">
        <v>1</v>
      </c>
      <c r="H909" t="str">
        <f>"00000000"</f>
        <v>00000000</v>
      </c>
      <c r="I909" t="s">
        <v>39</v>
      </c>
      <c r="J909"/>
      <c r="K909">
        <v>360.17</v>
      </c>
      <c r="L909">
        <v>0.0</v>
      </c>
      <c r="M909"/>
      <c r="N909"/>
      <c r="O909">
        <v>64.83</v>
      </c>
      <c r="P909">
        <v>0.0</v>
      </c>
      <c r="Q909">
        <v>425.0</v>
      </c>
      <c r="R909"/>
      <c r="S909"/>
      <c r="T909"/>
      <c r="U909"/>
      <c r="V909"/>
      <c r="W909">
        <v>18</v>
      </c>
    </row>
    <row r="910" spans="1:23">
      <c r="A910"/>
      <c r="B910" t="s">
        <v>82</v>
      </c>
      <c r="C910" t="s">
        <v>82</v>
      </c>
      <c r="D910" t="s">
        <v>37</v>
      </c>
      <c r="E910" t="s">
        <v>38</v>
      </c>
      <c r="F910" t="str">
        <f>"0001016"</f>
        <v>0001016</v>
      </c>
      <c r="G910">
        <v>1</v>
      </c>
      <c r="H910" t="str">
        <f>"00000000"</f>
        <v>00000000</v>
      </c>
      <c r="I910" t="s">
        <v>39</v>
      </c>
      <c r="J910"/>
      <c r="K910">
        <v>360.17</v>
      </c>
      <c r="L910">
        <v>0.0</v>
      </c>
      <c r="M910"/>
      <c r="N910"/>
      <c r="O910">
        <v>64.83</v>
      </c>
      <c r="P910">
        <v>0.0</v>
      </c>
      <c r="Q910">
        <v>425.0</v>
      </c>
      <c r="R910"/>
      <c r="S910"/>
      <c r="T910"/>
      <c r="U910"/>
      <c r="V910"/>
      <c r="W910">
        <v>18</v>
      </c>
    </row>
    <row r="911" spans="1:23">
      <c r="A911"/>
      <c r="B911" t="s">
        <v>82</v>
      </c>
      <c r="C911" t="s">
        <v>82</v>
      </c>
      <c r="D911" t="s">
        <v>37</v>
      </c>
      <c r="E911" t="s">
        <v>38</v>
      </c>
      <c r="F911" t="str">
        <f>"0001017"</f>
        <v>0001017</v>
      </c>
      <c r="G911">
        <v>1</v>
      </c>
      <c r="H911" t="str">
        <f>"00000000"</f>
        <v>00000000</v>
      </c>
      <c r="I911" t="s">
        <v>39</v>
      </c>
      <c r="J911"/>
      <c r="K911">
        <v>275.42</v>
      </c>
      <c r="L911">
        <v>0.0</v>
      </c>
      <c r="M911"/>
      <c r="N911"/>
      <c r="O911">
        <v>49.58</v>
      </c>
      <c r="P911">
        <v>0.0</v>
      </c>
      <c r="Q911">
        <v>325.0</v>
      </c>
      <c r="R911"/>
      <c r="S911"/>
      <c r="T911"/>
      <c r="U911"/>
      <c r="V911"/>
      <c r="W911">
        <v>18</v>
      </c>
    </row>
    <row r="912" spans="1:23">
      <c r="A912"/>
      <c r="B912" t="s">
        <v>82</v>
      </c>
      <c r="C912" t="s">
        <v>82</v>
      </c>
      <c r="D912" t="s">
        <v>37</v>
      </c>
      <c r="E912" t="s">
        <v>38</v>
      </c>
      <c r="F912" t="str">
        <f>"0001018"</f>
        <v>0001018</v>
      </c>
      <c r="G912">
        <v>1</v>
      </c>
      <c r="H912" t="str">
        <f>"00000000"</f>
        <v>00000000</v>
      </c>
      <c r="I912" t="s">
        <v>39</v>
      </c>
      <c r="J912"/>
      <c r="K912">
        <v>296.61</v>
      </c>
      <c r="L912">
        <v>0.0</v>
      </c>
      <c r="M912"/>
      <c r="N912"/>
      <c r="O912">
        <v>53.39</v>
      </c>
      <c r="P912">
        <v>0.0</v>
      </c>
      <c r="Q912">
        <v>350.0</v>
      </c>
      <c r="R912"/>
      <c r="S912"/>
      <c r="T912"/>
      <c r="U912"/>
      <c r="V912"/>
      <c r="W912">
        <v>18</v>
      </c>
    </row>
    <row r="913" spans="1:23">
      <c r="A913"/>
      <c r="B913" t="s">
        <v>82</v>
      </c>
      <c r="C913" t="s">
        <v>82</v>
      </c>
      <c r="D913" t="s">
        <v>37</v>
      </c>
      <c r="E913" t="s">
        <v>38</v>
      </c>
      <c r="F913" t="str">
        <f>"0001019"</f>
        <v>0001019</v>
      </c>
      <c r="G913">
        <v>1</v>
      </c>
      <c r="H913" t="str">
        <f>"00000000"</f>
        <v>00000000</v>
      </c>
      <c r="I913" t="s">
        <v>39</v>
      </c>
      <c r="J913"/>
      <c r="K913">
        <v>279.66</v>
      </c>
      <c r="L913">
        <v>0.0</v>
      </c>
      <c r="M913"/>
      <c r="N913"/>
      <c r="O913">
        <v>50.34</v>
      </c>
      <c r="P913">
        <v>0.0</v>
      </c>
      <c r="Q913">
        <v>330.0</v>
      </c>
      <c r="R913"/>
      <c r="S913"/>
      <c r="T913"/>
      <c r="U913"/>
      <c r="V913"/>
      <c r="W913">
        <v>18</v>
      </c>
    </row>
    <row r="914" spans="1:23">
      <c r="A914"/>
      <c r="B914" t="s">
        <v>82</v>
      </c>
      <c r="C914" t="s">
        <v>82</v>
      </c>
      <c r="D914" t="s">
        <v>37</v>
      </c>
      <c r="E914" t="s">
        <v>38</v>
      </c>
      <c r="F914" t="str">
        <f>"0001020"</f>
        <v>0001020</v>
      </c>
      <c r="G914">
        <v>1</v>
      </c>
      <c r="H914" t="str">
        <f>"00000000"</f>
        <v>00000000</v>
      </c>
      <c r="I914" t="s">
        <v>39</v>
      </c>
      <c r="J914"/>
      <c r="K914">
        <v>254.24</v>
      </c>
      <c r="L914">
        <v>0.0</v>
      </c>
      <c r="M914"/>
      <c r="N914"/>
      <c r="O914">
        <v>45.76</v>
      </c>
      <c r="P914">
        <v>0.0</v>
      </c>
      <c r="Q914">
        <v>300.0</v>
      </c>
      <c r="R914"/>
      <c r="S914"/>
      <c r="T914"/>
      <c r="U914"/>
      <c r="V914"/>
      <c r="W914">
        <v>18</v>
      </c>
    </row>
    <row r="915" spans="1:23">
      <c r="A915"/>
      <c r="B915" t="s">
        <v>82</v>
      </c>
      <c r="C915" t="s">
        <v>82</v>
      </c>
      <c r="D915" t="s">
        <v>37</v>
      </c>
      <c r="E915" t="s">
        <v>38</v>
      </c>
      <c r="F915" t="str">
        <f>"0001021"</f>
        <v>0001021</v>
      </c>
      <c r="G915">
        <v>1</v>
      </c>
      <c r="H915" t="str">
        <f>"00000000"</f>
        <v>00000000</v>
      </c>
      <c r="I915" t="s">
        <v>39</v>
      </c>
      <c r="J915"/>
      <c r="K915">
        <v>254.24</v>
      </c>
      <c r="L915">
        <v>0.0</v>
      </c>
      <c r="M915"/>
      <c r="N915"/>
      <c r="O915">
        <v>45.76</v>
      </c>
      <c r="P915">
        <v>0.0</v>
      </c>
      <c r="Q915">
        <v>300.0</v>
      </c>
      <c r="R915"/>
      <c r="S915"/>
      <c r="T915"/>
      <c r="U915"/>
      <c r="V915"/>
      <c r="W915">
        <v>18</v>
      </c>
    </row>
    <row r="916" spans="1:23">
      <c r="A916"/>
      <c r="B916" t="s">
        <v>82</v>
      </c>
      <c r="C916" t="s">
        <v>82</v>
      </c>
      <c r="D916" t="s">
        <v>37</v>
      </c>
      <c r="E916" t="s">
        <v>38</v>
      </c>
      <c r="F916" t="str">
        <f>"0001022"</f>
        <v>0001022</v>
      </c>
      <c r="G916">
        <v>1</v>
      </c>
      <c r="H916" t="str">
        <f>"00000000"</f>
        <v>00000000</v>
      </c>
      <c r="I916" t="s">
        <v>39</v>
      </c>
      <c r="J916"/>
      <c r="K916">
        <v>220.34</v>
      </c>
      <c r="L916">
        <v>0.0</v>
      </c>
      <c r="M916"/>
      <c r="N916"/>
      <c r="O916">
        <v>39.66</v>
      </c>
      <c r="P916">
        <v>0.0</v>
      </c>
      <c r="Q916">
        <v>260.0</v>
      </c>
      <c r="R916"/>
      <c r="S916"/>
      <c r="T916"/>
      <c r="U916"/>
      <c r="V916"/>
      <c r="W916">
        <v>18</v>
      </c>
    </row>
    <row r="917" spans="1:23">
      <c r="A917"/>
      <c r="B917" t="s">
        <v>82</v>
      </c>
      <c r="C917" t="s">
        <v>82</v>
      </c>
      <c r="D917" t="s">
        <v>37</v>
      </c>
      <c r="E917" t="s">
        <v>38</v>
      </c>
      <c r="F917" t="str">
        <f>"0001023"</f>
        <v>0001023</v>
      </c>
      <c r="G917">
        <v>1</v>
      </c>
      <c r="H917" t="str">
        <f>"00000000"</f>
        <v>00000000</v>
      </c>
      <c r="I917" t="s">
        <v>39</v>
      </c>
      <c r="J917"/>
      <c r="K917">
        <v>296.61</v>
      </c>
      <c r="L917">
        <v>0.0</v>
      </c>
      <c r="M917"/>
      <c r="N917"/>
      <c r="O917">
        <v>53.39</v>
      </c>
      <c r="P917">
        <v>0.0</v>
      </c>
      <c r="Q917">
        <v>350.0</v>
      </c>
      <c r="R917"/>
      <c r="S917"/>
      <c r="T917"/>
      <c r="U917"/>
      <c r="V917"/>
      <c r="W917">
        <v>18</v>
      </c>
    </row>
    <row r="918" spans="1:23">
      <c r="A918"/>
      <c r="B918" t="s">
        <v>82</v>
      </c>
      <c r="C918" t="s">
        <v>82</v>
      </c>
      <c r="D918" t="s">
        <v>37</v>
      </c>
      <c r="E918" t="s">
        <v>38</v>
      </c>
      <c r="F918" t="str">
        <f>"0001024"</f>
        <v>0001024</v>
      </c>
      <c r="G918">
        <v>1</v>
      </c>
      <c r="H918" t="str">
        <f>"00000000"</f>
        <v>00000000</v>
      </c>
      <c r="I918" t="s">
        <v>39</v>
      </c>
      <c r="J918"/>
      <c r="K918">
        <v>296.61</v>
      </c>
      <c r="L918">
        <v>0.0</v>
      </c>
      <c r="M918"/>
      <c r="N918"/>
      <c r="O918">
        <v>53.39</v>
      </c>
      <c r="P918">
        <v>0.0</v>
      </c>
      <c r="Q918">
        <v>350.0</v>
      </c>
      <c r="R918"/>
      <c r="S918"/>
      <c r="T918"/>
      <c r="U918"/>
      <c r="V918"/>
      <c r="W918">
        <v>18</v>
      </c>
    </row>
    <row r="919" spans="1:23">
      <c r="A919"/>
      <c r="B919" t="s">
        <v>82</v>
      </c>
      <c r="C919" t="s">
        <v>82</v>
      </c>
      <c r="D919" t="s">
        <v>37</v>
      </c>
      <c r="E919" t="s">
        <v>38</v>
      </c>
      <c r="F919" t="str">
        <f>"0001025"</f>
        <v>0001025</v>
      </c>
      <c r="G919">
        <v>1</v>
      </c>
      <c r="H919" t="str">
        <f>"00000000"</f>
        <v>00000000</v>
      </c>
      <c r="I919" t="s">
        <v>39</v>
      </c>
      <c r="J919"/>
      <c r="K919">
        <v>288.14</v>
      </c>
      <c r="L919">
        <v>0.0</v>
      </c>
      <c r="M919"/>
      <c r="N919"/>
      <c r="O919">
        <v>51.86</v>
      </c>
      <c r="P919">
        <v>0.0</v>
      </c>
      <c r="Q919">
        <v>340.0</v>
      </c>
      <c r="R919"/>
      <c r="S919"/>
      <c r="T919"/>
      <c r="U919"/>
      <c r="V919"/>
      <c r="W919">
        <v>18</v>
      </c>
    </row>
    <row r="920" spans="1:23">
      <c r="A920"/>
      <c r="B920" t="s">
        <v>82</v>
      </c>
      <c r="C920" t="s">
        <v>82</v>
      </c>
      <c r="D920" t="s">
        <v>37</v>
      </c>
      <c r="E920" t="s">
        <v>38</v>
      </c>
      <c r="F920" t="str">
        <f>"0001026"</f>
        <v>0001026</v>
      </c>
      <c r="G920">
        <v>1</v>
      </c>
      <c r="H920" t="str">
        <f>"00000000"</f>
        <v>00000000</v>
      </c>
      <c r="I920" t="s">
        <v>39</v>
      </c>
      <c r="J920"/>
      <c r="K920">
        <v>372.88</v>
      </c>
      <c r="L920">
        <v>0.0</v>
      </c>
      <c r="M920"/>
      <c r="N920"/>
      <c r="O920">
        <v>67.12</v>
      </c>
      <c r="P920">
        <v>0.0</v>
      </c>
      <c r="Q920">
        <v>440.0</v>
      </c>
      <c r="R920"/>
      <c r="S920"/>
      <c r="T920"/>
      <c r="U920"/>
      <c r="V920"/>
      <c r="W920">
        <v>18</v>
      </c>
    </row>
    <row r="921" spans="1:23">
      <c r="A921"/>
      <c r="B921" t="s">
        <v>82</v>
      </c>
      <c r="C921" t="s">
        <v>82</v>
      </c>
      <c r="D921" t="s">
        <v>37</v>
      </c>
      <c r="E921" t="s">
        <v>38</v>
      </c>
      <c r="F921" t="str">
        <f>"0001027"</f>
        <v>0001027</v>
      </c>
      <c r="G921">
        <v>1</v>
      </c>
      <c r="H921" t="str">
        <f>"00000000"</f>
        <v>00000000</v>
      </c>
      <c r="I921" t="s">
        <v>39</v>
      </c>
      <c r="J921"/>
      <c r="K921">
        <v>296.61</v>
      </c>
      <c r="L921">
        <v>0.0</v>
      </c>
      <c r="M921"/>
      <c r="N921"/>
      <c r="O921">
        <v>53.39</v>
      </c>
      <c r="P921">
        <v>0.0</v>
      </c>
      <c r="Q921">
        <v>350.0</v>
      </c>
      <c r="R921"/>
      <c r="S921"/>
      <c r="T921"/>
      <c r="U921"/>
      <c r="V921"/>
      <c r="W921">
        <v>18</v>
      </c>
    </row>
    <row r="922" spans="1:23">
      <c r="A922"/>
      <c r="B922" t="s">
        <v>82</v>
      </c>
      <c r="C922" t="s">
        <v>82</v>
      </c>
      <c r="D922" t="s">
        <v>37</v>
      </c>
      <c r="E922" t="s">
        <v>38</v>
      </c>
      <c r="F922" t="str">
        <f>"0001028"</f>
        <v>0001028</v>
      </c>
      <c r="G922">
        <v>1</v>
      </c>
      <c r="H922" t="str">
        <f>"00000000"</f>
        <v>00000000</v>
      </c>
      <c r="I922" t="s">
        <v>39</v>
      </c>
      <c r="J922"/>
      <c r="K922">
        <v>296.61</v>
      </c>
      <c r="L922">
        <v>0.0</v>
      </c>
      <c r="M922"/>
      <c r="N922"/>
      <c r="O922">
        <v>53.39</v>
      </c>
      <c r="P922">
        <v>0.0</v>
      </c>
      <c r="Q922">
        <v>350.0</v>
      </c>
      <c r="R922"/>
      <c r="S922"/>
      <c r="T922"/>
      <c r="U922"/>
      <c r="V922"/>
      <c r="W922">
        <v>18</v>
      </c>
    </row>
    <row r="923" spans="1:23">
      <c r="A923"/>
      <c r="B923" t="s">
        <v>82</v>
      </c>
      <c r="C923" t="s">
        <v>82</v>
      </c>
      <c r="D923" t="s">
        <v>37</v>
      </c>
      <c r="E923" t="s">
        <v>38</v>
      </c>
      <c r="F923" t="str">
        <f>"0001029"</f>
        <v>0001029</v>
      </c>
      <c r="G923">
        <v>1</v>
      </c>
      <c r="H923" t="str">
        <f>"00000000"</f>
        <v>00000000</v>
      </c>
      <c r="I923" t="s">
        <v>39</v>
      </c>
      <c r="J923"/>
      <c r="K923">
        <v>292.37</v>
      </c>
      <c r="L923">
        <v>0.0</v>
      </c>
      <c r="M923"/>
      <c r="N923"/>
      <c r="O923">
        <v>52.63</v>
      </c>
      <c r="P923">
        <v>0.0</v>
      </c>
      <c r="Q923">
        <v>345.0</v>
      </c>
      <c r="R923"/>
      <c r="S923"/>
      <c r="T923"/>
      <c r="U923"/>
      <c r="V923"/>
      <c r="W923">
        <v>18</v>
      </c>
    </row>
    <row r="924" spans="1:23">
      <c r="A924"/>
      <c r="B924" t="s">
        <v>82</v>
      </c>
      <c r="C924" t="s">
        <v>82</v>
      </c>
      <c r="D924" t="s">
        <v>37</v>
      </c>
      <c r="E924" t="s">
        <v>38</v>
      </c>
      <c r="F924" t="str">
        <f>"0001030"</f>
        <v>0001030</v>
      </c>
      <c r="G924">
        <v>1</v>
      </c>
      <c r="H924" t="str">
        <f>"00000000"</f>
        <v>00000000</v>
      </c>
      <c r="I924" t="s">
        <v>39</v>
      </c>
      <c r="J924"/>
      <c r="K924">
        <v>254.24</v>
      </c>
      <c r="L924">
        <v>0.0</v>
      </c>
      <c r="M924"/>
      <c r="N924"/>
      <c r="O924">
        <v>45.76</v>
      </c>
      <c r="P924">
        <v>0.0</v>
      </c>
      <c r="Q924">
        <v>300.0</v>
      </c>
      <c r="R924"/>
      <c r="S924"/>
      <c r="T924"/>
      <c r="U924"/>
      <c r="V924"/>
      <c r="W924">
        <v>18</v>
      </c>
    </row>
    <row r="925" spans="1:23">
      <c r="A925"/>
      <c r="B925" t="s">
        <v>82</v>
      </c>
      <c r="C925" t="s">
        <v>82</v>
      </c>
      <c r="D925" t="s">
        <v>37</v>
      </c>
      <c r="E925" t="s">
        <v>38</v>
      </c>
      <c r="F925" t="str">
        <f>"0001031"</f>
        <v>0001031</v>
      </c>
      <c r="G925">
        <v>1</v>
      </c>
      <c r="H925" t="str">
        <f>"00000000"</f>
        <v>00000000</v>
      </c>
      <c r="I925" t="s">
        <v>39</v>
      </c>
      <c r="J925"/>
      <c r="K925">
        <v>338.98</v>
      </c>
      <c r="L925">
        <v>0.0</v>
      </c>
      <c r="M925"/>
      <c r="N925"/>
      <c r="O925">
        <v>61.02</v>
      </c>
      <c r="P925">
        <v>0.0</v>
      </c>
      <c r="Q925">
        <v>400.0</v>
      </c>
      <c r="R925"/>
      <c r="S925"/>
      <c r="T925"/>
      <c r="U925"/>
      <c r="V925"/>
      <c r="W925">
        <v>18</v>
      </c>
    </row>
    <row r="926" spans="1:23">
      <c r="A926"/>
      <c r="B926" t="s">
        <v>82</v>
      </c>
      <c r="C926" t="s">
        <v>82</v>
      </c>
      <c r="D926" t="s">
        <v>37</v>
      </c>
      <c r="E926" t="s">
        <v>38</v>
      </c>
      <c r="F926" t="str">
        <f>"0001032"</f>
        <v>0001032</v>
      </c>
      <c r="G926">
        <v>1</v>
      </c>
      <c r="H926" t="str">
        <f>"00000000"</f>
        <v>00000000</v>
      </c>
      <c r="I926" t="s">
        <v>39</v>
      </c>
      <c r="J926"/>
      <c r="K926">
        <v>305.08</v>
      </c>
      <c r="L926">
        <v>0.0</v>
      </c>
      <c r="M926"/>
      <c r="N926"/>
      <c r="O926">
        <v>54.92</v>
      </c>
      <c r="P926">
        <v>0.0</v>
      </c>
      <c r="Q926">
        <v>360.0</v>
      </c>
      <c r="R926"/>
      <c r="S926"/>
      <c r="T926"/>
      <c r="U926"/>
      <c r="V926"/>
      <c r="W926">
        <v>18</v>
      </c>
    </row>
    <row r="927" spans="1:23">
      <c r="A927"/>
      <c r="B927" t="s">
        <v>83</v>
      </c>
      <c r="C927" t="s">
        <v>83</v>
      </c>
      <c r="D927" t="s">
        <v>37</v>
      </c>
      <c r="E927" t="s">
        <v>38</v>
      </c>
      <c r="F927" t="str">
        <f>"0001033"</f>
        <v>0001033</v>
      </c>
      <c r="G927">
        <v>1</v>
      </c>
      <c r="H927" t="str">
        <f>"00000000"</f>
        <v>00000000</v>
      </c>
      <c r="I927" t="s">
        <v>39</v>
      </c>
      <c r="J927"/>
      <c r="K927">
        <v>394.07</v>
      </c>
      <c r="L927">
        <v>0.0</v>
      </c>
      <c r="M927"/>
      <c r="N927"/>
      <c r="O927">
        <v>70.93</v>
      </c>
      <c r="P927">
        <v>0.0</v>
      </c>
      <c r="Q927">
        <v>465.0</v>
      </c>
      <c r="R927"/>
      <c r="S927"/>
      <c r="T927"/>
      <c r="U927"/>
      <c r="V927"/>
      <c r="W927">
        <v>18</v>
      </c>
    </row>
    <row r="928" spans="1:23">
      <c r="A928"/>
      <c r="B928" t="s">
        <v>83</v>
      </c>
      <c r="C928" t="s">
        <v>83</v>
      </c>
      <c r="D928" t="s">
        <v>37</v>
      </c>
      <c r="E928" t="s">
        <v>38</v>
      </c>
      <c r="F928" t="str">
        <f>"0001034"</f>
        <v>0001034</v>
      </c>
      <c r="G928">
        <v>1</v>
      </c>
      <c r="H928" t="str">
        <f>"00000000"</f>
        <v>00000000</v>
      </c>
      <c r="I928" t="s">
        <v>39</v>
      </c>
      <c r="J928"/>
      <c r="K928">
        <v>296.61</v>
      </c>
      <c r="L928">
        <v>0.0</v>
      </c>
      <c r="M928"/>
      <c r="N928"/>
      <c r="O928">
        <v>53.39</v>
      </c>
      <c r="P928">
        <v>0.0</v>
      </c>
      <c r="Q928">
        <v>350.0</v>
      </c>
      <c r="R928"/>
      <c r="S928"/>
      <c r="T928"/>
      <c r="U928"/>
      <c r="V928"/>
      <c r="W928">
        <v>18</v>
      </c>
    </row>
    <row r="929" spans="1:23">
      <c r="A929"/>
      <c r="B929" t="s">
        <v>83</v>
      </c>
      <c r="C929" t="s">
        <v>83</v>
      </c>
      <c r="D929" t="s">
        <v>37</v>
      </c>
      <c r="E929" t="s">
        <v>38</v>
      </c>
      <c r="F929" t="str">
        <f>"0001035"</f>
        <v>0001035</v>
      </c>
      <c r="G929">
        <v>1</v>
      </c>
      <c r="H929" t="str">
        <f>"00000000"</f>
        <v>00000000</v>
      </c>
      <c r="I929" t="s">
        <v>39</v>
      </c>
      <c r="J929"/>
      <c r="K929">
        <v>211.86</v>
      </c>
      <c r="L929">
        <v>0.0</v>
      </c>
      <c r="M929"/>
      <c r="N929"/>
      <c r="O929">
        <v>38.14</v>
      </c>
      <c r="P929">
        <v>0.0</v>
      </c>
      <c r="Q929">
        <v>250.0</v>
      </c>
      <c r="R929"/>
      <c r="S929"/>
      <c r="T929"/>
      <c r="U929"/>
      <c r="V929"/>
      <c r="W929">
        <v>18</v>
      </c>
    </row>
    <row r="930" spans="1:23">
      <c r="A930"/>
      <c r="B930" t="s">
        <v>83</v>
      </c>
      <c r="C930" t="s">
        <v>83</v>
      </c>
      <c r="D930" t="s">
        <v>37</v>
      </c>
      <c r="E930" t="s">
        <v>38</v>
      </c>
      <c r="F930" t="str">
        <f>"0001036"</f>
        <v>0001036</v>
      </c>
      <c r="G930">
        <v>1</v>
      </c>
      <c r="H930" t="str">
        <f>"00000000"</f>
        <v>00000000</v>
      </c>
      <c r="I930" t="s">
        <v>39</v>
      </c>
      <c r="J930"/>
      <c r="K930">
        <v>330.51</v>
      </c>
      <c r="L930">
        <v>0.0</v>
      </c>
      <c r="M930"/>
      <c r="N930"/>
      <c r="O930">
        <v>59.49</v>
      </c>
      <c r="P930">
        <v>0.0</v>
      </c>
      <c r="Q930">
        <v>390.0</v>
      </c>
      <c r="R930"/>
      <c r="S930"/>
      <c r="T930"/>
      <c r="U930"/>
      <c r="V930"/>
      <c r="W930">
        <v>18</v>
      </c>
    </row>
    <row r="931" spans="1:23">
      <c r="A931"/>
      <c r="B931" t="s">
        <v>83</v>
      </c>
      <c r="C931" t="s">
        <v>83</v>
      </c>
      <c r="D931" t="s">
        <v>37</v>
      </c>
      <c r="E931" t="s">
        <v>38</v>
      </c>
      <c r="F931" t="str">
        <f>"0001037"</f>
        <v>0001037</v>
      </c>
      <c r="G931">
        <v>1</v>
      </c>
      <c r="H931" t="str">
        <f>"00000000"</f>
        <v>00000000</v>
      </c>
      <c r="I931" t="s">
        <v>39</v>
      </c>
      <c r="J931"/>
      <c r="K931">
        <v>169.49</v>
      </c>
      <c r="L931">
        <v>0.0</v>
      </c>
      <c r="M931"/>
      <c r="N931"/>
      <c r="O931">
        <v>30.51</v>
      </c>
      <c r="P931">
        <v>0.0</v>
      </c>
      <c r="Q931">
        <v>200.0</v>
      </c>
      <c r="R931"/>
      <c r="S931"/>
      <c r="T931"/>
      <c r="U931"/>
      <c r="V931"/>
      <c r="W931">
        <v>18</v>
      </c>
    </row>
    <row r="932" spans="1:23">
      <c r="A932"/>
      <c r="B932" t="s">
        <v>83</v>
      </c>
      <c r="C932" t="s">
        <v>83</v>
      </c>
      <c r="D932" t="s">
        <v>37</v>
      </c>
      <c r="E932" t="s">
        <v>38</v>
      </c>
      <c r="F932" t="str">
        <f>"0001038"</f>
        <v>0001038</v>
      </c>
      <c r="G932">
        <v>1</v>
      </c>
      <c r="H932" t="str">
        <f>"00000000"</f>
        <v>00000000</v>
      </c>
      <c r="I932" t="s">
        <v>39</v>
      </c>
      <c r="J932"/>
      <c r="K932">
        <v>254.24</v>
      </c>
      <c r="L932">
        <v>0.0</v>
      </c>
      <c r="M932"/>
      <c r="N932"/>
      <c r="O932">
        <v>45.76</v>
      </c>
      <c r="P932">
        <v>0.0</v>
      </c>
      <c r="Q932">
        <v>300.0</v>
      </c>
      <c r="R932"/>
      <c r="S932"/>
      <c r="T932"/>
      <c r="U932"/>
      <c r="V932"/>
      <c r="W932">
        <v>18</v>
      </c>
    </row>
    <row r="933" spans="1:23">
      <c r="A933"/>
      <c r="B933" t="s">
        <v>83</v>
      </c>
      <c r="C933" t="s">
        <v>83</v>
      </c>
      <c r="D933" t="s">
        <v>37</v>
      </c>
      <c r="E933" t="s">
        <v>38</v>
      </c>
      <c r="F933" t="str">
        <f>"0001039"</f>
        <v>0001039</v>
      </c>
      <c r="G933">
        <v>1</v>
      </c>
      <c r="H933" t="str">
        <f>"00000000"</f>
        <v>00000000</v>
      </c>
      <c r="I933" t="s">
        <v>39</v>
      </c>
      <c r="J933"/>
      <c r="K933">
        <v>322.03</v>
      </c>
      <c r="L933">
        <v>0.0</v>
      </c>
      <c r="M933"/>
      <c r="N933"/>
      <c r="O933">
        <v>57.97</v>
      </c>
      <c r="P933">
        <v>0.0</v>
      </c>
      <c r="Q933">
        <v>380.0</v>
      </c>
      <c r="R933"/>
      <c r="S933"/>
      <c r="T933"/>
      <c r="U933"/>
      <c r="V933"/>
      <c r="W933">
        <v>18</v>
      </c>
    </row>
    <row r="934" spans="1:23">
      <c r="A934"/>
      <c r="B934" t="s">
        <v>83</v>
      </c>
      <c r="C934" t="s">
        <v>83</v>
      </c>
      <c r="D934" t="s">
        <v>37</v>
      </c>
      <c r="E934" t="s">
        <v>38</v>
      </c>
      <c r="F934" t="str">
        <f>"0001040"</f>
        <v>0001040</v>
      </c>
      <c r="G934">
        <v>1</v>
      </c>
      <c r="H934" t="str">
        <f>"00000000"</f>
        <v>00000000</v>
      </c>
      <c r="I934" t="s">
        <v>39</v>
      </c>
      <c r="J934"/>
      <c r="K934">
        <v>419.49</v>
      </c>
      <c r="L934">
        <v>0.0</v>
      </c>
      <c r="M934"/>
      <c r="N934"/>
      <c r="O934">
        <v>75.51</v>
      </c>
      <c r="P934">
        <v>0.0</v>
      </c>
      <c r="Q934">
        <v>495.0</v>
      </c>
      <c r="R934"/>
      <c r="S934"/>
      <c r="T934"/>
      <c r="U934"/>
      <c r="V934"/>
      <c r="W934">
        <v>18</v>
      </c>
    </row>
    <row r="935" spans="1:23">
      <c r="A935"/>
      <c r="B935" t="s">
        <v>83</v>
      </c>
      <c r="C935" t="s">
        <v>83</v>
      </c>
      <c r="D935" t="s">
        <v>37</v>
      </c>
      <c r="E935" t="s">
        <v>38</v>
      </c>
      <c r="F935" t="str">
        <f>"0001041"</f>
        <v>0001041</v>
      </c>
      <c r="G935">
        <v>1</v>
      </c>
      <c r="H935" t="str">
        <f>"00000000"</f>
        <v>00000000</v>
      </c>
      <c r="I935" t="s">
        <v>39</v>
      </c>
      <c r="J935"/>
      <c r="K935">
        <v>296.61</v>
      </c>
      <c r="L935">
        <v>0.0</v>
      </c>
      <c r="M935"/>
      <c r="N935"/>
      <c r="O935">
        <v>53.39</v>
      </c>
      <c r="P935">
        <v>0.0</v>
      </c>
      <c r="Q935">
        <v>350.0</v>
      </c>
      <c r="R935"/>
      <c r="S935"/>
      <c r="T935"/>
      <c r="U935"/>
      <c r="V935"/>
      <c r="W935">
        <v>18</v>
      </c>
    </row>
    <row r="936" spans="1:23">
      <c r="A936"/>
      <c r="B936" t="s">
        <v>83</v>
      </c>
      <c r="C936" t="s">
        <v>83</v>
      </c>
      <c r="D936" t="s">
        <v>37</v>
      </c>
      <c r="E936" t="s">
        <v>38</v>
      </c>
      <c r="F936" t="str">
        <f>"0001042"</f>
        <v>0001042</v>
      </c>
      <c r="G936">
        <v>1</v>
      </c>
      <c r="H936" t="str">
        <f>"00000000"</f>
        <v>00000000</v>
      </c>
      <c r="I936" t="s">
        <v>39</v>
      </c>
      <c r="J936"/>
      <c r="K936">
        <v>355.93</v>
      </c>
      <c r="L936">
        <v>0.0</v>
      </c>
      <c r="M936"/>
      <c r="N936"/>
      <c r="O936">
        <v>64.07</v>
      </c>
      <c r="P936">
        <v>0.0</v>
      </c>
      <c r="Q936">
        <v>420.0</v>
      </c>
      <c r="R936"/>
      <c r="S936"/>
      <c r="T936"/>
      <c r="U936"/>
      <c r="V936"/>
      <c r="W936">
        <v>18</v>
      </c>
    </row>
    <row r="937" spans="1:23">
      <c r="A937"/>
      <c r="B937" t="s">
        <v>84</v>
      </c>
      <c r="C937" t="s">
        <v>84</v>
      </c>
      <c r="D937" t="s">
        <v>37</v>
      </c>
      <c r="E937" t="s">
        <v>38</v>
      </c>
      <c r="F937" t="str">
        <f>"0001043"</f>
        <v>0001043</v>
      </c>
      <c r="G937">
        <v>1</v>
      </c>
      <c r="H937" t="str">
        <f>"00000000"</f>
        <v>00000000</v>
      </c>
      <c r="I937" t="s">
        <v>39</v>
      </c>
      <c r="J937"/>
      <c r="K937">
        <v>254.24</v>
      </c>
      <c r="L937">
        <v>0.0</v>
      </c>
      <c r="M937"/>
      <c r="N937"/>
      <c r="O937">
        <v>45.76</v>
      </c>
      <c r="P937">
        <v>0.0</v>
      </c>
      <c r="Q937">
        <v>300.0</v>
      </c>
      <c r="R937"/>
      <c r="S937"/>
      <c r="T937"/>
      <c r="U937"/>
      <c r="V937"/>
      <c r="W937">
        <v>18</v>
      </c>
    </row>
    <row r="938" spans="1:23">
      <c r="A938"/>
      <c r="B938" t="s">
        <v>84</v>
      </c>
      <c r="C938" t="s">
        <v>84</v>
      </c>
      <c r="D938" t="s">
        <v>37</v>
      </c>
      <c r="E938" t="s">
        <v>38</v>
      </c>
      <c r="F938" t="str">
        <f>"0001044"</f>
        <v>0001044</v>
      </c>
      <c r="G938">
        <v>1</v>
      </c>
      <c r="H938" t="str">
        <f>"00000000"</f>
        <v>00000000</v>
      </c>
      <c r="I938" t="s">
        <v>39</v>
      </c>
      <c r="J938"/>
      <c r="K938">
        <v>254.24</v>
      </c>
      <c r="L938">
        <v>0.0</v>
      </c>
      <c r="M938"/>
      <c r="N938"/>
      <c r="O938">
        <v>45.76</v>
      </c>
      <c r="P938">
        <v>0.0</v>
      </c>
      <c r="Q938">
        <v>300.0</v>
      </c>
      <c r="R938"/>
      <c r="S938"/>
      <c r="T938"/>
      <c r="U938"/>
      <c r="V938"/>
      <c r="W938">
        <v>18</v>
      </c>
    </row>
    <row r="939" spans="1:23">
      <c r="A939"/>
      <c r="B939" t="s">
        <v>84</v>
      </c>
      <c r="C939" t="s">
        <v>84</v>
      </c>
      <c r="D939" t="s">
        <v>37</v>
      </c>
      <c r="E939" t="s">
        <v>38</v>
      </c>
      <c r="F939" t="str">
        <f>"0001045"</f>
        <v>0001045</v>
      </c>
      <c r="G939">
        <v>1</v>
      </c>
      <c r="H939" t="str">
        <f>"00000000"</f>
        <v>00000000</v>
      </c>
      <c r="I939" t="s">
        <v>39</v>
      </c>
      <c r="J939"/>
      <c r="K939">
        <v>338.98</v>
      </c>
      <c r="L939">
        <v>0.0</v>
      </c>
      <c r="M939"/>
      <c r="N939"/>
      <c r="O939">
        <v>61.02</v>
      </c>
      <c r="P939">
        <v>0.0</v>
      </c>
      <c r="Q939">
        <v>400.0</v>
      </c>
      <c r="R939"/>
      <c r="S939"/>
      <c r="T939"/>
      <c r="U939"/>
      <c r="V939"/>
      <c r="W939">
        <v>18</v>
      </c>
    </row>
    <row r="940" spans="1:23">
      <c r="A940"/>
      <c r="B940" t="s">
        <v>84</v>
      </c>
      <c r="C940" t="s">
        <v>84</v>
      </c>
      <c r="D940" t="s">
        <v>37</v>
      </c>
      <c r="E940" t="s">
        <v>38</v>
      </c>
      <c r="F940" t="str">
        <f>"0001046"</f>
        <v>0001046</v>
      </c>
      <c r="G940">
        <v>1</v>
      </c>
      <c r="H940" t="str">
        <f>"00000000"</f>
        <v>00000000</v>
      </c>
      <c r="I940" t="s">
        <v>39</v>
      </c>
      <c r="J940"/>
      <c r="K940">
        <v>423.73</v>
      </c>
      <c r="L940">
        <v>0.0</v>
      </c>
      <c r="M940"/>
      <c r="N940"/>
      <c r="O940">
        <v>76.27</v>
      </c>
      <c r="P940">
        <v>0.0</v>
      </c>
      <c r="Q940">
        <v>500.0</v>
      </c>
      <c r="R940"/>
      <c r="S940"/>
      <c r="T940"/>
      <c r="U940"/>
      <c r="V940"/>
      <c r="W940">
        <v>18</v>
      </c>
    </row>
    <row r="941" spans="1:23">
      <c r="A941"/>
      <c r="B941" t="s">
        <v>84</v>
      </c>
      <c r="C941" t="s">
        <v>84</v>
      </c>
      <c r="D941" t="s">
        <v>37</v>
      </c>
      <c r="E941" t="s">
        <v>38</v>
      </c>
      <c r="F941" t="str">
        <f>"0001047"</f>
        <v>0001047</v>
      </c>
      <c r="G941">
        <v>1</v>
      </c>
      <c r="H941" t="str">
        <f>"00000000"</f>
        <v>00000000</v>
      </c>
      <c r="I941" t="s">
        <v>39</v>
      </c>
      <c r="J941"/>
      <c r="K941">
        <v>398.31</v>
      </c>
      <c r="L941">
        <v>0.0</v>
      </c>
      <c r="M941"/>
      <c r="N941"/>
      <c r="O941">
        <v>71.69</v>
      </c>
      <c r="P941">
        <v>0.0</v>
      </c>
      <c r="Q941">
        <v>470.0</v>
      </c>
      <c r="R941"/>
      <c r="S941"/>
      <c r="T941"/>
      <c r="U941"/>
      <c r="V941"/>
      <c r="W941">
        <v>18</v>
      </c>
    </row>
    <row r="942" spans="1:23">
      <c r="A942"/>
      <c r="B942" t="s">
        <v>84</v>
      </c>
      <c r="C942" t="s">
        <v>84</v>
      </c>
      <c r="D942" t="s">
        <v>37</v>
      </c>
      <c r="E942" t="s">
        <v>38</v>
      </c>
      <c r="F942" t="str">
        <f>"0001048"</f>
        <v>0001048</v>
      </c>
      <c r="G942">
        <v>1</v>
      </c>
      <c r="H942" t="str">
        <f>"00000000"</f>
        <v>00000000</v>
      </c>
      <c r="I942" t="s">
        <v>39</v>
      </c>
      <c r="J942"/>
      <c r="K942">
        <v>381.36</v>
      </c>
      <c r="L942">
        <v>0.0</v>
      </c>
      <c r="M942"/>
      <c r="N942"/>
      <c r="O942">
        <v>68.64</v>
      </c>
      <c r="P942">
        <v>0.0</v>
      </c>
      <c r="Q942">
        <v>450.0</v>
      </c>
      <c r="R942"/>
      <c r="S942"/>
      <c r="T942"/>
      <c r="U942"/>
      <c r="V942"/>
      <c r="W942">
        <v>18</v>
      </c>
    </row>
    <row r="943" spans="1:23">
      <c r="A943"/>
      <c r="B943" t="s">
        <v>84</v>
      </c>
      <c r="C943" t="s">
        <v>84</v>
      </c>
      <c r="D943" t="s">
        <v>37</v>
      </c>
      <c r="E943" t="s">
        <v>38</v>
      </c>
      <c r="F943" t="str">
        <f>"0001049"</f>
        <v>0001049</v>
      </c>
      <c r="G943">
        <v>1</v>
      </c>
      <c r="H943" t="str">
        <f>"00000000"</f>
        <v>00000000</v>
      </c>
      <c r="I943" t="s">
        <v>39</v>
      </c>
      <c r="J943"/>
      <c r="K943">
        <v>211.86</v>
      </c>
      <c r="L943">
        <v>0.0</v>
      </c>
      <c r="M943"/>
      <c r="N943"/>
      <c r="O943">
        <v>38.14</v>
      </c>
      <c r="P943">
        <v>0.0</v>
      </c>
      <c r="Q943">
        <v>250.0</v>
      </c>
      <c r="R943"/>
      <c r="S943"/>
      <c r="T943"/>
      <c r="U943"/>
      <c r="V943"/>
      <c r="W943">
        <v>18</v>
      </c>
    </row>
    <row r="944" spans="1:23">
      <c r="A944"/>
      <c r="B944" t="s">
        <v>84</v>
      </c>
      <c r="C944" t="s">
        <v>84</v>
      </c>
      <c r="D944" t="s">
        <v>37</v>
      </c>
      <c r="E944" t="s">
        <v>38</v>
      </c>
      <c r="F944" t="str">
        <f>"0001050"</f>
        <v>0001050</v>
      </c>
      <c r="G944">
        <v>1</v>
      </c>
      <c r="H944" t="str">
        <f>"00000000"</f>
        <v>00000000</v>
      </c>
      <c r="I944" t="s">
        <v>39</v>
      </c>
      <c r="J944"/>
      <c r="K944">
        <v>296.61</v>
      </c>
      <c r="L944">
        <v>0.0</v>
      </c>
      <c r="M944"/>
      <c r="N944"/>
      <c r="O944">
        <v>53.39</v>
      </c>
      <c r="P944">
        <v>0.0</v>
      </c>
      <c r="Q944">
        <v>350.0</v>
      </c>
      <c r="R944"/>
      <c r="S944"/>
      <c r="T944"/>
      <c r="U944"/>
      <c r="V944"/>
      <c r="W944">
        <v>18</v>
      </c>
    </row>
    <row r="945" spans="1:23">
      <c r="A945"/>
      <c r="B945" t="s">
        <v>84</v>
      </c>
      <c r="C945" t="s">
        <v>84</v>
      </c>
      <c r="D945" t="s">
        <v>37</v>
      </c>
      <c r="E945" t="s">
        <v>38</v>
      </c>
      <c r="F945" t="str">
        <f>"0001051"</f>
        <v>0001051</v>
      </c>
      <c r="G945">
        <v>1</v>
      </c>
      <c r="H945" t="str">
        <f>"00000000"</f>
        <v>00000000</v>
      </c>
      <c r="I945" t="s">
        <v>39</v>
      </c>
      <c r="J945"/>
      <c r="K945">
        <v>360.17</v>
      </c>
      <c r="L945">
        <v>0.0</v>
      </c>
      <c r="M945"/>
      <c r="N945"/>
      <c r="O945">
        <v>64.83</v>
      </c>
      <c r="P945">
        <v>0.0</v>
      </c>
      <c r="Q945">
        <v>425.0</v>
      </c>
      <c r="R945"/>
      <c r="S945"/>
      <c r="T945"/>
      <c r="U945"/>
      <c r="V945"/>
      <c r="W945">
        <v>18</v>
      </c>
    </row>
    <row r="946" spans="1:23">
      <c r="A946"/>
      <c r="B946" t="s">
        <v>84</v>
      </c>
      <c r="C946" t="s">
        <v>84</v>
      </c>
      <c r="D946" t="s">
        <v>37</v>
      </c>
      <c r="E946" t="s">
        <v>38</v>
      </c>
      <c r="F946" t="str">
        <f>"0001052"</f>
        <v>0001052</v>
      </c>
      <c r="G946">
        <v>1</v>
      </c>
      <c r="H946" t="str">
        <f>"00000000"</f>
        <v>00000000</v>
      </c>
      <c r="I946" t="s">
        <v>39</v>
      </c>
      <c r="J946"/>
      <c r="K946">
        <v>296.61</v>
      </c>
      <c r="L946">
        <v>0.0</v>
      </c>
      <c r="M946"/>
      <c r="N946"/>
      <c r="O946">
        <v>53.39</v>
      </c>
      <c r="P946">
        <v>0.0</v>
      </c>
      <c r="Q946">
        <v>350.0</v>
      </c>
      <c r="R946"/>
      <c r="S946"/>
      <c r="T946"/>
      <c r="U946"/>
      <c r="V946"/>
      <c r="W946">
        <v>18</v>
      </c>
    </row>
    <row r="947" spans="1:23">
      <c r="A947"/>
      <c r="B947" t="s">
        <v>84</v>
      </c>
      <c r="C947" t="s">
        <v>84</v>
      </c>
      <c r="D947" t="s">
        <v>37</v>
      </c>
      <c r="E947" t="s">
        <v>38</v>
      </c>
      <c r="F947" t="str">
        <f>"0001053"</f>
        <v>0001053</v>
      </c>
      <c r="G947">
        <v>1</v>
      </c>
      <c r="H947" t="str">
        <f>"00000000"</f>
        <v>00000000</v>
      </c>
      <c r="I947" t="s">
        <v>39</v>
      </c>
      <c r="J947"/>
      <c r="K947">
        <v>330.51</v>
      </c>
      <c r="L947">
        <v>0.0</v>
      </c>
      <c r="M947"/>
      <c r="N947"/>
      <c r="O947">
        <v>59.49</v>
      </c>
      <c r="P947">
        <v>0.0</v>
      </c>
      <c r="Q947">
        <v>390.0</v>
      </c>
      <c r="R947"/>
      <c r="S947"/>
      <c r="T947"/>
      <c r="U947"/>
      <c r="V947"/>
      <c r="W947">
        <v>18</v>
      </c>
    </row>
    <row r="948" spans="1:23">
      <c r="A948"/>
      <c r="B948" t="s">
        <v>84</v>
      </c>
      <c r="C948" t="s">
        <v>84</v>
      </c>
      <c r="D948" t="s">
        <v>37</v>
      </c>
      <c r="E948" t="s">
        <v>38</v>
      </c>
      <c r="F948" t="str">
        <f>"0001054"</f>
        <v>0001054</v>
      </c>
      <c r="G948">
        <v>1</v>
      </c>
      <c r="H948" t="str">
        <f>"00000000"</f>
        <v>00000000</v>
      </c>
      <c r="I948" t="s">
        <v>39</v>
      </c>
      <c r="J948"/>
      <c r="K948">
        <v>296.61</v>
      </c>
      <c r="L948">
        <v>0.0</v>
      </c>
      <c r="M948"/>
      <c r="N948"/>
      <c r="O948">
        <v>53.39</v>
      </c>
      <c r="P948">
        <v>0.0</v>
      </c>
      <c r="Q948">
        <v>350.0</v>
      </c>
      <c r="R948"/>
      <c r="S948"/>
      <c r="T948"/>
      <c r="U948"/>
      <c r="V948"/>
      <c r="W948">
        <v>18</v>
      </c>
    </row>
    <row r="949" spans="1:23">
      <c r="A949"/>
      <c r="B949" t="s">
        <v>84</v>
      </c>
      <c r="C949" t="s">
        <v>84</v>
      </c>
      <c r="D949" t="s">
        <v>37</v>
      </c>
      <c r="E949" t="s">
        <v>38</v>
      </c>
      <c r="F949" t="str">
        <f>"0001055"</f>
        <v>0001055</v>
      </c>
      <c r="G949">
        <v>1</v>
      </c>
      <c r="H949" t="str">
        <f>"00000000"</f>
        <v>00000000</v>
      </c>
      <c r="I949" t="s">
        <v>39</v>
      </c>
      <c r="J949"/>
      <c r="K949">
        <v>296.61</v>
      </c>
      <c r="L949">
        <v>0.0</v>
      </c>
      <c r="M949"/>
      <c r="N949"/>
      <c r="O949">
        <v>53.39</v>
      </c>
      <c r="P949">
        <v>0.0</v>
      </c>
      <c r="Q949">
        <v>350.0</v>
      </c>
      <c r="R949"/>
      <c r="S949"/>
      <c r="T949"/>
      <c r="U949"/>
      <c r="V949"/>
      <c r="W949">
        <v>18</v>
      </c>
    </row>
    <row r="950" spans="1:23">
      <c r="A950"/>
      <c r="B950" t="s">
        <v>84</v>
      </c>
      <c r="C950" t="s">
        <v>84</v>
      </c>
      <c r="D950" t="s">
        <v>37</v>
      </c>
      <c r="E950" t="s">
        <v>38</v>
      </c>
      <c r="F950" t="str">
        <f>"0001056"</f>
        <v>0001056</v>
      </c>
      <c r="G950">
        <v>1</v>
      </c>
      <c r="H950" t="str">
        <f>"00000000"</f>
        <v>00000000</v>
      </c>
      <c r="I950" t="s">
        <v>39</v>
      </c>
      <c r="J950"/>
      <c r="K950">
        <v>275.42</v>
      </c>
      <c r="L950">
        <v>0.0</v>
      </c>
      <c r="M950"/>
      <c r="N950"/>
      <c r="O950">
        <v>49.58</v>
      </c>
      <c r="P950">
        <v>0.0</v>
      </c>
      <c r="Q950">
        <v>325.0</v>
      </c>
      <c r="R950"/>
      <c r="S950"/>
      <c r="T950"/>
      <c r="U950"/>
      <c r="V950"/>
      <c r="W950">
        <v>18</v>
      </c>
    </row>
    <row r="951" spans="1:23">
      <c r="A951"/>
      <c r="B951" t="s">
        <v>84</v>
      </c>
      <c r="C951" t="s">
        <v>84</v>
      </c>
      <c r="D951" t="s">
        <v>37</v>
      </c>
      <c r="E951" t="s">
        <v>38</v>
      </c>
      <c r="F951" t="str">
        <f>"0001057"</f>
        <v>0001057</v>
      </c>
      <c r="G951">
        <v>1</v>
      </c>
      <c r="H951" t="str">
        <f>"00000000"</f>
        <v>00000000</v>
      </c>
      <c r="I951" t="s">
        <v>39</v>
      </c>
      <c r="J951"/>
      <c r="K951">
        <v>296.61</v>
      </c>
      <c r="L951">
        <v>0.0</v>
      </c>
      <c r="M951"/>
      <c r="N951"/>
      <c r="O951">
        <v>53.39</v>
      </c>
      <c r="P951">
        <v>0.0</v>
      </c>
      <c r="Q951">
        <v>350.0</v>
      </c>
      <c r="R951"/>
      <c r="S951"/>
      <c r="T951"/>
      <c r="U951"/>
      <c r="V951"/>
      <c r="W951">
        <v>18</v>
      </c>
    </row>
    <row r="952" spans="1:23">
      <c r="A952"/>
      <c r="B952" t="s">
        <v>84</v>
      </c>
      <c r="C952" t="s">
        <v>84</v>
      </c>
      <c r="D952" t="s">
        <v>37</v>
      </c>
      <c r="E952" t="s">
        <v>38</v>
      </c>
      <c r="F952" t="str">
        <f>"0001058"</f>
        <v>0001058</v>
      </c>
      <c r="G952">
        <v>1</v>
      </c>
      <c r="H952" t="str">
        <f>"00000000"</f>
        <v>00000000</v>
      </c>
      <c r="I952" t="s">
        <v>39</v>
      </c>
      <c r="J952"/>
      <c r="K952">
        <v>296.61</v>
      </c>
      <c r="L952">
        <v>0.0</v>
      </c>
      <c r="M952"/>
      <c r="N952"/>
      <c r="O952">
        <v>53.39</v>
      </c>
      <c r="P952">
        <v>0.0</v>
      </c>
      <c r="Q952">
        <v>350.0</v>
      </c>
      <c r="R952"/>
      <c r="S952"/>
      <c r="T952"/>
      <c r="U952"/>
      <c r="V952"/>
      <c r="W952">
        <v>18</v>
      </c>
    </row>
    <row r="953" spans="1:23">
      <c r="A953"/>
      <c r="B953" t="s">
        <v>84</v>
      </c>
      <c r="C953" t="s">
        <v>84</v>
      </c>
      <c r="D953" t="s">
        <v>37</v>
      </c>
      <c r="E953" t="s">
        <v>38</v>
      </c>
      <c r="F953" t="str">
        <f>"0001059"</f>
        <v>0001059</v>
      </c>
      <c r="G953">
        <v>1</v>
      </c>
      <c r="H953" t="str">
        <f>"00000000"</f>
        <v>00000000</v>
      </c>
      <c r="I953" t="s">
        <v>39</v>
      </c>
      <c r="J953"/>
      <c r="K953">
        <v>381.36</v>
      </c>
      <c r="L953">
        <v>0.0</v>
      </c>
      <c r="M953"/>
      <c r="N953"/>
      <c r="O953">
        <v>68.64</v>
      </c>
      <c r="P953">
        <v>0.0</v>
      </c>
      <c r="Q953">
        <v>450.0</v>
      </c>
      <c r="R953"/>
      <c r="S953"/>
      <c r="T953"/>
      <c r="U953"/>
      <c r="V953"/>
      <c r="W953">
        <v>18</v>
      </c>
    </row>
    <row r="954" spans="1:23">
      <c r="A954"/>
      <c r="B954" t="s">
        <v>84</v>
      </c>
      <c r="C954" t="s">
        <v>84</v>
      </c>
      <c r="D954" t="s">
        <v>37</v>
      </c>
      <c r="E954" t="s">
        <v>38</v>
      </c>
      <c r="F954" t="str">
        <f>"0001060"</f>
        <v>0001060</v>
      </c>
      <c r="G954">
        <v>1</v>
      </c>
      <c r="H954" t="str">
        <f>"00000000"</f>
        <v>00000000</v>
      </c>
      <c r="I954" t="s">
        <v>39</v>
      </c>
      <c r="J954"/>
      <c r="K954">
        <v>296.61</v>
      </c>
      <c r="L954">
        <v>0.0</v>
      </c>
      <c r="M954"/>
      <c r="N954"/>
      <c r="O954">
        <v>53.39</v>
      </c>
      <c r="P954">
        <v>0.0</v>
      </c>
      <c r="Q954">
        <v>350.0</v>
      </c>
      <c r="R954"/>
      <c r="S954"/>
      <c r="T954"/>
      <c r="U954"/>
      <c r="V954"/>
      <c r="W954">
        <v>18</v>
      </c>
    </row>
    <row r="955" spans="1:23">
      <c r="A955"/>
      <c r="B955" t="s">
        <v>84</v>
      </c>
      <c r="C955" t="s">
        <v>84</v>
      </c>
      <c r="D955" t="s">
        <v>37</v>
      </c>
      <c r="E955" t="s">
        <v>38</v>
      </c>
      <c r="F955" t="str">
        <f>"0001061"</f>
        <v>0001061</v>
      </c>
      <c r="G955">
        <v>1</v>
      </c>
      <c r="H955" t="str">
        <f>"00000000"</f>
        <v>00000000</v>
      </c>
      <c r="I955" t="s">
        <v>39</v>
      </c>
      <c r="J955"/>
      <c r="K955">
        <v>406.78</v>
      </c>
      <c r="L955">
        <v>0.0</v>
      </c>
      <c r="M955"/>
      <c r="N955"/>
      <c r="O955">
        <v>73.22</v>
      </c>
      <c r="P955">
        <v>0.0</v>
      </c>
      <c r="Q955">
        <v>480.0</v>
      </c>
      <c r="R955"/>
      <c r="S955"/>
      <c r="T955"/>
      <c r="U955"/>
      <c r="V955"/>
      <c r="W955">
        <v>18</v>
      </c>
    </row>
    <row r="956" spans="1:23">
      <c r="A956"/>
      <c r="B956" t="s">
        <v>84</v>
      </c>
      <c r="C956" t="s">
        <v>84</v>
      </c>
      <c r="D956" t="s">
        <v>37</v>
      </c>
      <c r="E956" t="s">
        <v>38</v>
      </c>
      <c r="F956" t="str">
        <f>"0001062"</f>
        <v>0001062</v>
      </c>
      <c r="G956">
        <v>1</v>
      </c>
      <c r="H956" t="str">
        <f>"00000000"</f>
        <v>00000000</v>
      </c>
      <c r="I956" t="s">
        <v>39</v>
      </c>
      <c r="J956"/>
      <c r="K956">
        <v>296.61</v>
      </c>
      <c r="L956">
        <v>0.0</v>
      </c>
      <c r="M956"/>
      <c r="N956"/>
      <c r="O956">
        <v>53.39</v>
      </c>
      <c r="P956">
        <v>0.0</v>
      </c>
      <c r="Q956">
        <v>350.0</v>
      </c>
      <c r="R956"/>
      <c r="S956"/>
      <c r="T956"/>
      <c r="U956"/>
      <c r="V956"/>
      <c r="W956">
        <v>18</v>
      </c>
    </row>
    <row r="957" spans="1:23">
      <c r="A957"/>
      <c r="B957" t="s">
        <v>84</v>
      </c>
      <c r="C957" t="s">
        <v>84</v>
      </c>
      <c r="D957" t="s">
        <v>37</v>
      </c>
      <c r="E957" t="s">
        <v>38</v>
      </c>
      <c r="F957" t="str">
        <f>"0001063"</f>
        <v>0001063</v>
      </c>
      <c r="G957">
        <v>1</v>
      </c>
      <c r="H957" t="str">
        <f>"00000000"</f>
        <v>00000000</v>
      </c>
      <c r="I957" t="s">
        <v>39</v>
      </c>
      <c r="J957"/>
      <c r="K957">
        <v>330.51</v>
      </c>
      <c r="L957">
        <v>0.0</v>
      </c>
      <c r="M957"/>
      <c r="N957"/>
      <c r="O957">
        <v>59.49</v>
      </c>
      <c r="P957">
        <v>0.0</v>
      </c>
      <c r="Q957">
        <v>390.0</v>
      </c>
      <c r="R957"/>
      <c r="S957"/>
      <c r="T957"/>
      <c r="U957"/>
      <c r="V957"/>
      <c r="W957">
        <v>18</v>
      </c>
    </row>
    <row r="958" spans="1:23">
      <c r="A958"/>
      <c r="B958" t="s">
        <v>84</v>
      </c>
      <c r="C958" t="s">
        <v>84</v>
      </c>
      <c r="D958" t="s">
        <v>37</v>
      </c>
      <c r="E958" t="s">
        <v>38</v>
      </c>
      <c r="F958" t="str">
        <f>"0001064"</f>
        <v>0001064</v>
      </c>
      <c r="G958">
        <v>1</v>
      </c>
      <c r="H958" t="str">
        <f>"00000000"</f>
        <v>00000000</v>
      </c>
      <c r="I958" t="s">
        <v>39</v>
      </c>
      <c r="J958"/>
      <c r="K958">
        <v>381.36</v>
      </c>
      <c r="L958">
        <v>0.0</v>
      </c>
      <c r="M958"/>
      <c r="N958"/>
      <c r="O958">
        <v>68.64</v>
      </c>
      <c r="P958">
        <v>0.0</v>
      </c>
      <c r="Q958">
        <v>450.0</v>
      </c>
      <c r="R958"/>
      <c r="S958"/>
      <c r="T958"/>
      <c r="U958"/>
      <c r="V958"/>
      <c r="W958">
        <v>18</v>
      </c>
    </row>
    <row r="959" spans="1:23">
      <c r="A959"/>
      <c r="B959" t="s">
        <v>84</v>
      </c>
      <c r="C959" t="s">
        <v>84</v>
      </c>
      <c r="D959" t="s">
        <v>37</v>
      </c>
      <c r="E959" t="s">
        <v>38</v>
      </c>
      <c r="F959" t="str">
        <f>"0001065"</f>
        <v>0001065</v>
      </c>
      <c r="G959">
        <v>1</v>
      </c>
      <c r="H959" t="str">
        <f>"00000000"</f>
        <v>00000000</v>
      </c>
      <c r="I959" t="s">
        <v>39</v>
      </c>
      <c r="J959"/>
      <c r="K959">
        <v>338.98</v>
      </c>
      <c r="L959">
        <v>0.0</v>
      </c>
      <c r="M959"/>
      <c r="N959"/>
      <c r="O959">
        <v>61.02</v>
      </c>
      <c r="P959">
        <v>0.0</v>
      </c>
      <c r="Q959">
        <v>400.0</v>
      </c>
      <c r="R959"/>
      <c r="S959"/>
      <c r="T959"/>
      <c r="U959"/>
      <c r="V959"/>
      <c r="W959">
        <v>18</v>
      </c>
    </row>
    <row r="960" spans="1:23">
      <c r="A960"/>
      <c r="B960" t="s">
        <v>84</v>
      </c>
      <c r="C960" t="s">
        <v>84</v>
      </c>
      <c r="D960" t="s">
        <v>37</v>
      </c>
      <c r="E960" t="s">
        <v>38</v>
      </c>
      <c r="F960" t="str">
        <f>"0001066"</f>
        <v>0001066</v>
      </c>
      <c r="G960">
        <v>1</v>
      </c>
      <c r="H960" t="str">
        <f>"00000000"</f>
        <v>00000000</v>
      </c>
      <c r="I960" t="s">
        <v>39</v>
      </c>
      <c r="J960"/>
      <c r="K960">
        <v>355.93</v>
      </c>
      <c r="L960">
        <v>0.0</v>
      </c>
      <c r="M960"/>
      <c r="N960"/>
      <c r="O960">
        <v>64.07</v>
      </c>
      <c r="P960">
        <v>0.0</v>
      </c>
      <c r="Q960">
        <v>420.0</v>
      </c>
      <c r="R960"/>
      <c r="S960"/>
      <c r="T960"/>
      <c r="U960"/>
      <c r="V960"/>
      <c r="W960">
        <v>18</v>
      </c>
    </row>
    <row r="961" spans="1:23">
      <c r="A961"/>
      <c r="B961" t="s">
        <v>84</v>
      </c>
      <c r="C961" t="s">
        <v>84</v>
      </c>
      <c r="D961" t="s">
        <v>37</v>
      </c>
      <c r="E961" t="s">
        <v>38</v>
      </c>
      <c r="F961" t="str">
        <f>"0001067"</f>
        <v>0001067</v>
      </c>
      <c r="G961">
        <v>1</v>
      </c>
      <c r="H961" t="str">
        <f>"00000000"</f>
        <v>00000000</v>
      </c>
      <c r="I961" t="s">
        <v>39</v>
      </c>
      <c r="J961"/>
      <c r="K961">
        <v>377.12</v>
      </c>
      <c r="L961">
        <v>0.0</v>
      </c>
      <c r="M961"/>
      <c r="N961"/>
      <c r="O961">
        <v>67.88</v>
      </c>
      <c r="P961">
        <v>0.0</v>
      </c>
      <c r="Q961">
        <v>445.0</v>
      </c>
      <c r="R961"/>
      <c r="S961"/>
      <c r="T961"/>
      <c r="U961"/>
      <c r="V961"/>
      <c r="W961">
        <v>18</v>
      </c>
    </row>
    <row r="962" spans="1:23">
      <c r="A962"/>
      <c r="B962" t="s">
        <v>84</v>
      </c>
      <c r="C962" t="s">
        <v>84</v>
      </c>
      <c r="D962" t="s">
        <v>37</v>
      </c>
      <c r="E962" t="s">
        <v>38</v>
      </c>
      <c r="F962" t="str">
        <f>"0001068"</f>
        <v>0001068</v>
      </c>
      <c r="G962">
        <v>1</v>
      </c>
      <c r="H962" t="str">
        <f>"00000000"</f>
        <v>00000000</v>
      </c>
      <c r="I962" t="s">
        <v>39</v>
      </c>
      <c r="J962"/>
      <c r="K962">
        <v>169.49</v>
      </c>
      <c r="L962">
        <v>0.0</v>
      </c>
      <c r="M962"/>
      <c r="N962"/>
      <c r="O962">
        <v>30.51</v>
      </c>
      <c r="P962">
        <v>0.0</v>
      </c>
      <c r="Q962">
        <v>200.0</v>
      </c>
      <c r="R962"/>
      <c r="S962"/>
      <c r="T962"/>
      <c r="U962"/>
      <c r="V962"/>
      <c r="W962">
        <v>18</v>
      </c>
    </row>
    <row r="963" spans="1:23">
      <c r="A963"/>
      <c r="B963" t="s">
        <v>84</v>
      </c>
      <c r="C963" t="s">
        <v>84</v>
      </c>
      <c r="D963" t="s">
        <v>37</v>
      </c>
      <c r="E963" t="s">
        <v>38</v>
      </c>
      <c r="F963" t="str">
        <f>"0001069"</f>
        <v>0001069</v>
      </c>
      <c r="G963">
        <v>1</v>
      </c>
      <c r="H963" t="str">
        <f>"00000000"</f>
        <v>00000000</v>
      </c>
      <c r="I963" t="s">
        <v>39</v>
      </c>
      <c r="J963"/>
      <c r="K963">
        <v>254.24</v>
      </c>
      <c r="L963">
        <v>0.0</v>
      </c>
      <c r="M963"/>
      <c r="N963"/>
      <c r="O963">
        <v>45.76</v>
      </c>
      <c r="P963">
        <v>0.0</v>
      </c>
      <c r="Q963">
        <v>300.0</v>
      </c>
      <c r="R963"/>
      <c r="S963"/>
      <c r="T963"/>
      <c r="U963"/>
      <c r="V963"/>
      <c r="W963">
        <v>18</v>
      </c>
    </row>
    <row r="964" spans="1:23">
      <c r="A964"/>
      <c r="B964" t="s">
        <v>84</v>
      </c>
      <c r="C964" t="s">
        <v>84</v>
      </c>
      <c r="D964" t="s">
        <v>37</v>
      </c>
      <c r="E964" t="s">
        <v>38</v>
      </c>
      <c r="F964" t="str">
        <f>"0001070"</f>
        <v>0001070</v>
      </c>
      <c r="G964">
        <v>1</v>
      </c>
      <c r="H964" t="str">
        <f>"00000000"</f>
        <v>00000000</v>
      </c>
      <c r="I964" t="s">
        <v>39</v>
      </c>
      <c r="J964"/>
      <c r="K964">
        <v>296.61</v>
      </c>
      <c r="L964">
        <v>0.0</v>
      </c>
      <c r="M964"/>
      <c r="N964"/>
      <c r="O964">
        <v>53.39</v>
      </c>
      <c r="P964">
        <v>0.0</v>
      </c>
      <c r="Q964">
        <v>350.0</v>
      </c>
      <c r="R964"/>
      <c r="S964"/>
      <c r="T964"/>
      <c r="U964"/>
      <c r="V964"/>
      <c r="W964">
        <v>18</v>
      </c>
    </row>
    <row r="965" spans="1:23">
      <c r="A965"/>
      <c r="B965" t="s">
        <v>85</v>
      </c>
      <c r="C965" t="s">
        <v>85</v>
      </c>
      <c r="D965" t="s">
        <v>33</v>
      </c>
      <c r="E965" t="s">
        <v>34</v>
      </c>
      <c r="F965" t="str">
        <f>"0000027"</f>
        <v>0000027</v>
      </c>
      <c r="G965">
        <v>6</v>
      </c>
      <c r="H965" t="str">
        <f>"20607860719"</f>
        <v>20607860719</v>
      </c>
      <c r="I965" t="s">
        <v>86</v>
      </c>
      <c r="J965"/>
      <c r="K965">
        <v>2330.51</v>
      </c>
      <c r="L965">
        <v>0.0</v>
      </c>
      <c r="M965"/>
      <c r="N965"/>
      <c r="O965">
        <v>419.49</v>
      </c>
      <c r="P965">
        <v>0.0</v>
      </c>
      <c r="Q965">
        <v>2750.0</v>
      </c>
      <c r="R965"/>
      <c r="S965"/>
      <c r="T965"/>
      <c r="U965"/>
      <c r="V965"/>
      <c r="W965">
        <v>18</v>
      </c>
    </row>
    <row r="966" spans="1:23">
      <c r="A966"/>
      <c r="B966" t="s">
        <v>85</v>
      </c>
      <c r="C966" t="s">
        <v>85</v>
      </c>
      <c r="D966" t="s">
        <v>37</v>
      </c>
      <c r="E966" t="s">
        <v>38</v>
      </c>
      <c r="F966" t="str">
        <f>"0001071"</f>
        <v>0001071</v>
      </c>
      <c r="G966">
        <v>1</v>
      </c>
      <c r="H966" t="str">
        <f>"00000000"</f>
        <v>00000000</v>
      </c>
      <c r="I966" t="s">
        <v>39</v>
      </c>
      <c r="J966"/>
      <c r="K966">
        <v>406.78</v>
      </c>
      <c r="L966">
        <v>0.0</v>
      </c>
      <c r="M966"/>
      <c r="N966"/>
      <c r="O966">
        <v>73.22</v>
      </c>
      <c r="P966">
        <v>0.0</v>
      </c>
      <c r="Q966">
        <v>480.0</v>
      </c>
      <c r="R966"/>
      <c r="S966"/>
      <c r="T966"/>
      <c r="U966"/>
      <c r="V966"/>
      <c r="W966">
        <v>18</v>
      </c>
    </row>
    <row r="967" spans="1:23">
      <c r="A967"/>
      <c r="B967" t="s">
        <v>85</v>
      </c>
      <c r="C967" t="s">
        <v>85</v>
      </c>
      <c r="D967" t="s">
        <v>37</v>
      </c>
      <c r="E967" t="s">
        <v>38</v>
      </c>
      <c r="F967" t="str">
        <f>"0001072"</f>
        <v>0001072</v>
      </c>
      <c r="G967">
        <v>1</v>
      </c>
      <c r="H967" t="str">
        <f>"00000000"</f>
        <v>00000000</v>
      </c>
      <c r="I967" t="s">
        <v>39</v>
      </c>
      <c r="J967"/>
      <c r="K967">
        <v>254.24</v>
      </c>
      <c r="L967">
        <v>0.0</v>
      </c>
      <c r="M967"/>
      <c r="N967"/>
      <c r="O967">
        <v>45.76</v>
      </c>
      <c r="P967">
        <v>0.0</v>
      </c>
      <c r="Q967">
        <v>300.0</v>
      </c>
      <c r="R967"/>
      <c r="S967"/>
      <c r="T967"/>
      <c r="U967"/>
      <c r="V967"/>
      <c r="W967">
        <v>18</v>
      </c>
    </row>
    <row r="968" spans="1:23">
      <c r="A968"/>
      <c r="B968" t="s">
        <v>85</v>
      </c>
      <c r="C968" t="s">
        <v>85</v>
      </c>
      <c r="D968" t="s">
        <v>37</v>
      </c>
      <c r="E968" t="s">
        <v>38</v>
      </c>
      <c r="F968" t="str">
        <f>"0001073"</f>
        <v>0001073</v>
      </c>
      <c r="G968">
        <v>1</v>
      </c>
      <c r="H968" t="str">
        <f>"00000000"</f>
        <v>00000000</v>
      </c>
      <c r="I968" t="s">
        <v>39</v>
      </c>
      <c r="J968"/>
      <c r="K968">
        <v>330.51</v>
      </c>
      <c r="L968">
        <v>0.0</v>
      </c>
      <c r="M968"/>
      <c r="N968"/>
      <c r="O968">
        <v>59.49</v>
      </c>
      <c r="P968">
        <v>0.0</v>
      </c>
      <c r="Q968">
        <v>390.0</v>
      </c>
      <c r="R968"/>
      <c r="S968"/>
      <c r="T968"/>
      <c r="U968"/>
      <c r="V968"/>
      <c r="W968">
        <v>18</v>
      </c>
    </row>
    <row r="969" spans="1:23">
      <c r="A969"/>
      <c r="B969" t="s">
        <v>85</v>
      </c>
      <c r="C969" t="s">
        <v>85</v>
      </c>
      <c r="D969" t="s">
        <v>37</v>
      </c>
      <c r="E969" t="s">
        <v>38</v>
      </c>
      <c r="F969" t="str">
        <f>"0001074"</f>
        <v>0001074</v>
      </c>
      <c r="G969">
        <v>1</v>
      </c>
      <c r="H969" t="str">
        <f>"00000000"</f>
        <v>00000000</v>
      </c>
      <c r="I969" t="s">
        <v>39</v>
      </c>
      <c r="J969"/>
      <c r="K969">
        <v>296.61</v>
      </c>
      <c r="L969">
        <v>0.0</v>
      </c>
      <c r="M969"/>
      <c r="N969"/>
      <c r="O969">
        <v>53.39</v>
      </c>
      <c r="P969">
        <v>0.0</v>
      </c>
      <c r="Q969">
        <v>350.0</v>
      </c>
      <c r="R969"/>
      <c r="S969"/>
      <c r="T969"/>
      <c r="U969"/>
      <c r="V969"/>
      <c r="W969">
        <v>18</v>
      </c>
    </row>
    <row r="970" spans="1:23">
      <c r="A970"/>
      <c r="B970" t="s">
        <v>85</v>
      </c>
      <c r="C970" t="s">
        <v>85</v>
      </c>
      <c r="D970" t="s">
        <v>37</v>
      </c>
      <c r="E970" t="s">
        <v>38</v>
      </c>
      <c r="F970" t="str">
        <f>"0001075"</f>
        <v>0001075</v>
      </c>
      <c r="G970">
        <v>1</v>
      </c>
      <c r="H970" t="str">
        <f>"00000000"</f>
        <v>00000000</v>
      </c>
      <c r="I970" t="s">
        <v>39</v>
      </c>
      <c r="J970"/>
      <c r="K970">
        <v>296.61</v>
      </c>
      <c r="L970">
        <v>0.0</v>
      </c>
      <c r="M970"/>
      <c r="N970"/>
      <c r="O970">
        <v>53.39</v>
      </c>
      <c r="P970">
        <v>0.0</v>
      </c>
      <c r="Q970">
        <v>350.0</v>
      </c>
      <c r="R970"/>
      <c r="S970"/>
      <c r="T970"/>
      <c r="U970"/>
      <c r="V970"/>
      <c r="W970">
        <v>18</v>
      </c>
    </row>
    <row r="971" spans="1:23">
      <c r="A971"/>
      <c r="B971" t="s">
        <v>85</v>
      </c>
      <c r="C971" t="s">
        <v>85</v>
      </c>
      <c r="D971" t="s">
        <v>37</v>
      </c>
      <c r="E971" t="s">
        <v>38</v>
      </c>
      <c r="F971" t="str">
        <f>"0001076"</f>
        <v>0001076</v>
      </c>
      <c r="G971">
        <v>1</v>
      </c>
      <c r="H971" t="str">
        <f>"00000000"</f>
        <v>00000000</v>
      </c>
      <c r="I971" t="s">
        <v>39</v>
      </c>
      <c r="J971"/>
      <c r="K971">
        <v>305.08</v>
      </c>
      <c r="L971">
        <v>0.0</v>
      </c>
      <c r="M971"/>
      <c r="N971"/>
      <c r="O971">
        <v>54.92</v>
      </c>
      <c r="P971">
        <v>0.0</v>
      </c>
      <c r="Q971">
        <v>360.0</v>
      </c>
      <c r="R971"/>
      <c r="S971"/>
      <c r="T971"/>
      <c r="U971"/>
      <c r="V971"/>
      <c r="W971">
        <v>18</v>
      </c>
    </row>
    <row r="972" spans="1:23">
      <c r="A972"/>
      <c r="B972" t="s">
        <v>85</v>
      </c>
      <c r="C972" t="s">
        <v>85</v>
      </c>
      <c r="D972" t="s">
        <v>37</v>
      </c>
      <c r="E972" t="s">
        <v>38</v>
      </c>
      <c r="F972" t="str">
        <f>"0001077"</f>
        <v>0001077</v>
      </c>
      <c r="G972">
        <v>1</v>
      </c>
      <c r="H972" t="str">
        <f>"00000000"</f>
        <v>00000000</v>
      </c>
      <c r="I972" t="s">
        <v>39</v>
      </c>
      <c r="J972"/>
      <c r="K972">
        <v>228.81</v>
      </c>
      <c r="L972">
        <v>0.0</v>
      </c>
      <c r="M972"/>
      <c r="N972"/>
      <c r="O972">
        <v>41.19</v>
      </c>
      <c r="P972">
        <v>0.0</v>
      </c>
      <c r="Q972">
        <v>270.0</v>
      </c>
      <c r="R972"/>
      <c r="S972"/>
      <c r="T972"/>
      <c r="U972"/>
      <c r="V972"/>
      <c r="W972">
        <v>18</v>
      </c>
    </row>
    <row r="973" spans="1:23">
      <c r="A973"/>
      <c r="B973" t="s">
        <v>85</v>
      </c>
      <c r="C973" t="s">
        <v>85</v>
      </c>
      <c r="D973" t="s">
        <v>37</v>
      </c>
      <c r="E973" t="s">
        <v>38</v>
      </c>
      <c r="F973" t="str">
        <f>"0001078"</f>
        <v>0001078</v>
      </c>
      <c r="G973">
        <v>1</v>
      </c>
      <c r="H973" t="str">
        <f>"00000000"</f>
        <v>00000000</v>
      </c>
      <c r="I973" t="s">
        <v>39</v>
      </c>
      <c r="J973"/>
      <c r="K973">
        <v>423.73</v>
      </c>
      <c r="L973">
        <v>0.0</v>
      </c>
      <c r="M973"/>
      <c r="N973"/>
      <c r="O973">
        <v>76.27</v>
      </c>
      <c r="P973">
        <v>0.0</v>
      </c>
      <c r="Q973">
        <v>500.0</v>
      </c>
      <c r="R973"/>
      <c r="S973"/>
      <c r="T973"/>
      <c r="U973"/>
      <c r="V973"/>
      <c r="W973">
        <v>18</v>
      </c>
    </row>
    <row r="974" spans="1:23">
      <c r="A974"/>
      <c r="B974" t="s">
        <v>85</v>
      </c>
      <c r="C974" t="s">
        <v>85</v>
      </c>
      <c r="D974" t="s">
        <v>37</v>
      </c>
      <c r="E974" t="s">
        <v>38</v>
      </c>
      <c r="F974" t="str">
        <f>"0001079"</f>
        <v>0001079</v>
      </c>
      <c r="G974">
        <v>1</v>
      </c>
      <c r="H974" t="str">
        <f>"00000000"</f>
        <v>00000000</v>
      </c>
      <c r="I974" t="s">
        <v>39</v>
      </c>
      <c r="J974"/>
      <c r="K974">
        <v>355.93</v>
      </c>
      <c r="L974">
        <v>0.0</v>
      </c>
      <c r="M974"/>
      <c r="N974"/>
      <c r="O974">
        <v>64.07</v>
      </c>
      <c r="P974">
        <v>0.0</v>
      </c>
      <c r="Q974">
        <v>420.0</v>
      </c>
      <c r="R974"/>
      <c r="S974"/>
      <c r="T974"/>
      <c r="U974"/>
      <c r="V974"/>
      <c r="W974">
        <v>18</v>
      </c>
    </row>
    <row r="975" spans="1:23">
      <c r="A975"/>
      <c r="B975" t="s">
        <v>85</v>
      </c>
      <c r="C975" t="s">
        <v>85</v>
      </c>
      <c r="D975" t="s">
        <v>37</v>
      </c>
      <c r="E975" t="s">
        <v>38</v>
      </c>
      <c r="F975" t="str">
        <f>"0001080"</f>
        <v>0001080</v>
      </c>
      <c r="G975">
        <v>1</v>
      </c>
      <c r="H975" t="str">
        <f>"00000000"</f>
        <v>00000000</v>
      </c>
      <c r="I975" t="s">
        <v>39</v>
      </c>
      <c r="J975"/>
      <c r="K975">
        <v>296.61</v>
      </c>
      <c r="L975">
        <v>0.0</v>
      </c>
      <c r="M975"/>
      <c r="N975"/>
      <c r="O975">
        <v>53.39</v>
      </c>
      <c r="P975">
        <v>0.0</v>
      </c>
      <c r="Q975">
        <v>350.0</v>
      </c>
      <c r="R975"/>
      <c r="S975"/>
      <c r="T975"/>
      <c r="U975"/>
      <c r="V975"/>
      <c r="W975">
        <v>18</v>
      </c>
    </row>
    <row r="976" spans="1:23">
      <c r="A976"/>
      <c r="B976" t="s">
        <v>85</v>
      </c>
      <c r="C976" t="s">
        <v>85</v>
      </c>
      <c r="D976" t="s">
        <v>37</v>
      </c>
      <c r="E976" t="s">
        <v>38</v>
      </c>
      <c r="F976" t="str">
        <f>"0001081"</f>
        <v>0001081</v>
      </c>
      <c r="G976">
        <v>1</v>
      </c>
      <c r="H976" t="str">
        <f>"00000000"</f>
        <v>00000000</v>
      </c>
      <c r="I976" t="s">
        <v>39</v>
      </c>
      <c r="J976"/>
      <c r="K976">
        <v>381.36</v>
      </c>
      <c r="L976">
        <v>0.0</v>
      </c>
      <c r="M976"/>
      <c r="N976"/>
      <c r="O976">
        <v>68.64</v>
      </c>
      <c r="P976">
        <v>0.0</v>
      </c>
      <c r="Q976">
        <v>450.0</v>
      </c>
      <c r="R976"/>
      <c r="S976"/>
      <c r="T976"/>
      <c r="U976"/>
      <c r="V976"/>
      <c r="W976">
        <v>18</v>
      </c>
    </row>
    <row r="977" spans="1:23">
      <c r="A977"/>
      <c r="B977" t="s">
        <v>85</v>
      </c>
      <c r="C977" t="s">
        <v>85</v>
      </c>
      <c r="D977" t="s">
        <v>37</v>
      </c>
      <c r="E977" t="s">
        <v>38</v>
      </c>
      <c r="F977" t="str">
        <f>"0001082"</f>
        <v>0001082</v>
      </c>
      <c r="G977">
        <v>1</v>
      </c>
      <c r="H977" t="str">
        <f>"00000000"</f>
        <v>00000000</v>
      </c>
      <c r="I977" t="s">
        <v>39</v>
      </c>
      <c r="J977"/>
      <c r="K977">
        <v>296.61</v>
      </c>
      <c r="L977">
        <v>0.0</v>
      </c>
      <c r="M977"/>
      <c r="N977"/>
      <c r="O977">
        <v>53.39</v>
      </c>
      <c r="P977">
        <v>0.0</v>
      </c>
      <c r="Q977">
        <v>350.0</v>
      </c>
      <c r="R977"/>
      <c r="S977"/>
      <c r="T977"/>
      <c r="U977"/>
      <c r="V977"/>
      <c r="W977">
        <v>18</v>
      </c>
    </row>
    <row r="978" spans="1:23">
      <c r="A978"/>
      <c r="B978" t="s">
        <v>85</v>
      </c>
      <c r="C978" t="s">
        <v>85</v>
      </c>
      <c r="D978" t="s">
        <v>37</v>
      </c>
      <c r="E978" t="s">
        <v>38</v>
      </c>
      <c r="F978" t="str">
        <f>"0001083"</f>
        <v>0001083</v>
      </c>
      <c r="G978">
        <v>1</v>
      </c>
      <c r="H978" t="str">
        <f>"00000000"</f>
        <v>00000000</v>
      </c>
      <c r="I978" t="s">
        <v>39</v>
      </c>
      <c r="J978"/>
      <c r="K978">
        <v>296.61</v>
      </c>
      <c r="L978">
        <v>0.0</v>
      </c>
      <c r="M978"/>
      <c r="N978"/>
      <c r="O978">
        <v>53.39</v>
      </c>
      <c r="P978">
        <v>0.0</v>
      </c>
      <c r="Q978">
        <v>350.0</v>
      </c>
      <c r="R978"/>
      <c r="S978"/>
      <c r="T978"/>
      <c r="U978"/>
      <c r="V978"/>
      <c r="W978">
        <v>18</v>
      </c>
    </row>
    <row r="979" spans="1:23">
      <c r="A979"/>
      <c r="B979" t="s">
        <v>85</v>
      </c>
      <c r="C979" t="s">
        <v>85</v>
      </c>
      <c r="D979" t="s">
        <v>37</v>
      </c>
      <c r="E979" t="s">
        <v>38</v>
      </c>
      <c r="F979" t="str">
        <f>"0001084"</f>
        <v>0001084</v>
      </c>
      <c r="G979">
        <v>1</v>
      </c>
      <c r="H979" t="str">
        <f>"00000000"</f>
        <v>00000000</v>
      </c>
      <c r="I979" t="s">
        <v>39</v>
      </c>
      <c r="J979"/>
      <c r="K979">
        <v>406.78</v>
      </c>
      <c r="L979">
        <v>0.0</v>
      </c>
      <c r="M979"/>
      <c r="N979"/>
      <c r="O979">
        <v>73.22</v>
      </c>
      <c r="P979">
        <v>0.0</v>
      </c>
      <c r="Q979">
        <v>480.0</v>
      </c>
      <c r="R979"/>
      <c r="S979"/>
      <c r="T979"/>
      <c r="U979"/>
      <c r="V979"/>
      <c r="W979">
        <v>18</v>
      </c>
    </row>
    <row r="980" spans="1:23">
      <c r="A980"/>
      <c r="B980" t="s">
        <v>85</v>
      </c>
      <c r="C980" t="s">
        <v>85</v>
      </c>
      <c r="D980" t="s">
        <v>37</v>
      </c>
      <c r="E980" t="s">
        <v>38</v>
      </c>
      <c r="F980" t="str">
        <f>"0001085"</f>
        <v>0001085</v>
      </c>
      <c r="G980">
        <v>1</v>
      </c>
      <c r="H980" t="str">
        <f>"00000000"</f>
        <v>00000000</v>
      </c>
      <c r="I980" t="s">
        <v>39</v>
      </c>
      <c r="J980"/>
      <c r="K980">
        <v>402.54</v>
      </c>
      <c r="L980">
        <v>0.0</v>
      </c>
      <c r="M980"/>
      <c r="N980"/>
      <c r="O980">
        <v>72.46</v>
      </c>
      <c r="P980">
        <v>0.0</v>
      </c>
      <c r="Q980">
        <v>475.0</v>
      </c>
      <c r="R980"/>
      <c r="S980"/>
      <c r="T980"/>
      <c r="U980"/>
      <c r="V980"/>
      <c r="W980">
        <v>18</v>
      </c>
    </row>
    <row r="981" spans="1:23">
      <c r="A981"/>
      <c r="B981" t="s">
        <v>85</v>
      </c>
      <c r="C981" t="s">
        <v>85</v>
      </c>
      <c r="D981" t="s">
        <v>37</v>
      </c>
      <c r="E981" t="s">
        <v>38</v>
      </c>
      <c r="F981" t="str">
        <f>"0001086"</f>
        <v>0001086</v>
      </c>
      <c r="G981">
        <v>1</v>
      </c>
      <c r="H981" t="str">
        <f>"00000000"</f>
        <v>00000000</v>
      </c>
      <c r="I981" t="s">
        <v>39</v>
      </c>
      <c r="J981"/>
      <c r="K981">
        <v>330.51</v>
      </c>
      <c r="L981">
        <v>0.0</v>
      </c>
      <c r="M981"/>
      <c r="N981"/>
      <c r="O981">
        <v>59.49</v>
      </c>
      <c r="P981">
        <v>0.0</v>
      </c>
      <c r="Q981">
        <v>390.0</v>
      </c>
      <c r="R981"/>
      <c r="S981"/>
      <c r="T981"/>
      <c r="U981"/>
      <c r="V981"/>
      <c r="W981">
        <v>18</v>
      </c>
    </row>
    <row r="982" spans="1:23">
      <c r="A982"/>
      <c r="B982" t="s">
        <v>85</v>
      </c>
      <c r="C982" t="s">
        <v>85</v>
      </c>
      <c r="D982" t="s">
        <v>37</v>
      </c>
      <c r="E982" t="s">
        <v>38</v>
      </c>
      <c r="F982" t="str">
        <f>"0001087"</f>
        <v>0001087</v>
      </c>
      <c r="G982">
        <v>1</v>
      </c>
      <c r="H982" t="str">
        <f>"00000000"</f>
        <v>00000000</v>
      </c>
      <c r="I982" t="s">
        <v>39</v>
      </c>
      <c r="J982"/>
      <c r="K982">
        <v>338.98</v>
      </c>
      <c r="L982">
        <v>0.0</v>
      </c>
      <c r="M982"/>
      <c r="N982"/>
      <c r="O982">
        <v>61.02</v>
      </c>
      <c r="P982">
        <v>0.0</v>
      </c>
      <c r="Q982">
        <v>400.0</v>
      </c>
      <c r="R982"/>
      <c r="S982"/>
      <c r="T982"/>
      <c r="U982"/>
      <c r="V982"/>
      <c r="W982">
        <v>18</v>
      </c>
    </row>
    <row r="983" spans="1:23">
      <c r="A983"/>
      <c r="B983" t="s">
        <v>85</v>
      </c>
      <c r="C983" t="s">
        <v>85</v>
      </c>
      <c r="D983" t="s">
        <v>37</v>
      </c>
      <c r="E983" t="s">
        <v>38</v>
      </c>
      <c r="F983" t="str">
        <f>"0001088"</f>
        <v>0001088</v>
      </c>
      <c r="G983">
        <v>1</v>
      </c>
      <c r="H983" t="str">
        <f>"00000000"</f>
        <v>00000000</v>
      </c>
      <c r="I983" t="s">
        <v>39</v>
      </c>
      <c r="J983"/>
      <c r="K983">
        <v>254.24</v>
      </c>
      <c r="L983">
        <v>0.0</v>
      </c>
      <c r="M983"/>
      <c r="N983"/>
      <c r="O983">
        <v>45.76</v>
      </c>
      <c r="P983">
        <v>0.0</v>
      </c>
      <c r="Q983">
        <v>300.0</v>
      </c>
      <c r="R983"/>
      <c r="S983"/>
      <c r="T983"/>
      <c r="U983"/>
      <c r="V983"/>
      <c r="W983">
        <v>18</v>
      </c>
    </row>
    <row r="984" spans="1:23">
      <c r="A984"/>
      <c r="B984" t="s">
        <v>85</v>
      </c>
      <c r="C984" t="s">
        <v>85</v>
      </c>
      <c r="D984" t="s">
        <v>37</v>
      </c>
      <c r="E984" t="s">
        <v>38</v>
      </c>
      <c r="F984" t="str">
        <f>"0001089"</f>
        <v>0001089</v>
      </c>
      <c r="G984">
        <v>1</v>
      </c>
      <c r="H984" t="str">
        <f>"00000000"</f>
        <v>00000000</v>
      </c>
      <c r="I984" t="s">
        <v>39</v>
      </c>
      <c r="J984"/>
      <c r="K984">
        <v>338.98</v>
      </c>
      <c r="L984">
        <v>0.0</v>
      </c>
      <c r="M984"/>
      <c r="N984"/>
      <c r="O984">
        <v>61.02</v>
      </c>
      <c r="P984">
        <v>0.0</v>
      </c>
      <c r="Q984">
        <v>400.0</v>
      </c>
      <c r="R984"/>
      <c r="S984"/>
      <c r="T984"/>
      <c r="U984"/>
      <c r="V984"/>
      <c r="W984">
        <v>18</v>
      </c>
    </row>
    <row r="985" spans="1:23">
      <c r="A985"/>
      <c r="B985" t="s">
        <v>85</v>
      </c>
      <c r="C985" t="s">
        <v>85</v>
      </c>
      <c r="D985" t="s">
        <v>37</v>
      </c>
      <c r="E985" t="s">
        <v>38</v>
      </c>
      <c r="F985" t="str">
        <f>"0001090"</f>
        <v>0001090</v>
      </c>
      <c r="G985">
        <v>1</v>
      </c>
      <c r="H985" t="str">
        <f>"00000000"</f>
        <v>00000000</v>
      </c>
      <c r="I985" t="s">
        <v>39</v>
      </c>
      <c r="J985"/>
      <c r="K985">
        <v>322.03</v>
      </c>
      <c r="L985">
        <v>0.0</v>
      </c>
      <c r="M985"/>
      <c r="N985"/>
      <c r="O985">
        <v>57.97</v>
      </c>
      <c r="P985">
        <v>0.0</v>
      </c>
      <c r="Q985">
        <v>380.0</v>
      </c>
      <c r="R985"/>
      <c r="S985"/>
      <c r="T985"/>
      <c r="U985"/>
      <c r="V985"/>
      <c r="W985">
        <v>18</v>
      </c>
    </row>
    <row r="986" spans="1:23">
      <c r="A986"/>
      <c r="B986" t="s">
        <v>85</v>
      </c>
      <c r="C986" t="s">
        <v>85</v>
      </c>
      <c r="D986" t="s">
        <v>37</v>
      </c>
      <c r="E986" t="s">
        <v>38</v>
      </c>
      <c r="F986" t="str">
        <f>"0001091"</f>
        <v>0001091</v>
      </c>
      <c r="G986">
        <v>1</v>
      </c>
      <c r="H986" t="str">
        <f>"00000000"</f>
        <v>00000000</v>
      </c>
      <c r="I986" t="s">
        <v>39</v>
      </c>
      <c r="J986"/>
      <c r="K986">
        <v>372.88</v>
      </c>
      <c r="L986">
        <v>0.0</v>
      </c>
      <c r="M986"/>
      <c r="N986"/>
      <c r="O986">
        <v>67.12</v>
      </c>
      <c r="P986">
        <v>0.0</v>
      </c>
      <c r="Q986">
        <v>440.0</v>
      </c>
      <c r="R986"/>
      <c r="S986"/>
      <c r="T986"/>
      <c r="U986"/>
      <c r="V986"/>
      <c r="W986">
        <v>18</v>
      </c>
    </row>
    <row r="987" spans="1:23">
      <c r="A987"/>
      <c r="B987" t="s">
        <v>85</v>
      </c>
      <c r="C987" t="s">
        <v>85</v>
      </c>
      <c r="D987" t="s">
        <v>37</v>
      </c>
      <c r="E987" t="s">
        <v>38</v>
      </c>
      <c r="F987" t="str">
        <f>"0001092"</f>
        <v>0001092</v>
      </c>
      <c r="G987">
        <v>1</v>
      </c>
      <c r="H987" t="str">
        <f>"00000000"</f>
        <v>00000000</v>
      </c>
      <c r="I987" t="s">
        <v>39</v>
      </c>
      <c r="J987"/>
      <c r="K987">
        <v>296.61</v>
      </c>
      <c r="L987">
        <v>0.0</v>
      </c>
      <c r="M987"/>
      <c r="N987"/>
      <c r="O987">
        <v>53.39</v>
      </c>
      <c r="P987">
        <v>0.0</v>
      </c>
      <c r="Q987">
        <v>350.0</v>
      </c>
      <c r="R987"/>
      <c r="S987"/>
      <c r="T987"/>
      <c r="U987"/>
      <c r="V987"/>
      <c r="W987">
        <v>18</v>
      </c>
    </row>
    <row r="988" spans="1:23">
      <c r="A988"/>
      <c r="B988" t="s">
        <v>85</v>
      </c>
      <c r="C988" t="s">
        <v>85</v>
      </c>
      <c r="D988" t="s">
        <v>37</v>
      </c>
      <c r="E988" t="s">
        <v>38</v>
      </c>
      <c r="F988" t="str">
        <f>"0001093"</f>
        <v>0001093</v>
      </c>
      <c r="G988">
        <v>1</v>
      </c>
      <c r="H988" t="str">
        <f>"00000000"</f>
        <v>00000000</v>
      </c>
      <c r="I988" t="s">
        <v>39</v>
      </c>
      <c r="J988"/>
      <c r="K988">
        <v>271.19</v>
      </c>
      <c r="L988">
        <v>0.0</v>
      </c>
      <c r="M988"/>
      <c r="N988"/>
      <c r="O988">
        <v>48.81</v>
      </c>
      <c r="P988">
        <v>0.0</v>
      </c>
      <c r="Q988">
        <v>320.0</v>
      </c>
      <c r="R988"/>
      <c r="S988"/>
      <c r="T988"/>
      <c r="U988"/>
      <c r="V988"/>
      <c r="W988">
        <v>18</v>
      </c>
    </row>
    <row r="989" spans="1:23">
      <c r="A989"/>
      <c r="B989" t="s">
        <v>85</v>
      </c>
      <c r="C989" t="s">
        <v>85</v>
      </c>
      <c r="D989" t="s">
        <v>37</v>
      </c>
      <c r="E989" t="s">
        <v>38</v>
      </c>
      <c r="F989" t="str">
        <f>"0001094"</f>
        <v>0001094</v>
      </c>
      <c r="G989">
        <v>1</v>
      </c>
      <c r="H989" t="str">
        <f>"00000000"</f>
        <v>00000000</v>
      </c>
      <c r="I989" t="s">
        <v>39</v>
      </c>
      <c r="J989"/>
      <c r="K989">
        <v>177.97</v>
      </c>
      <c r="L989">
        <v>0.0</v>
      </c>
      <c r="M989"/>
      <c r="N989"/>
      <c r="O989">
        <v>32.03</v>
      </c>
      <c r="P989">
        <v>0.0</v>
      </c>
      <c r="Q989">
        <v>210.0</v>
      </c>
      <c r="R989"/>
      <c r="S989"/>
      <c r="T989"/>
      <c r="U989"/>
      <c r="V989"/>
      <c r="W989">
        <v>18</v>
      </c>
    </row>
    <row r="990" spans="1:23">
      <c r="A990"/>
      <c r="B990" t="s">
        <v>85</v>
      </c>
      <c r="C990" t="s">
        <v>85</v>
      </c>
      <c r="D990" t="s">
        <v>37</v>
      </c>
      <c r="E990" t="s">
        <v>38</v>
      </c>
      <c r="F990" t="str">
        <f>"0001095"</f>
        <v>0001095</v>
      </c>
      <c r="G990">
        <v>1</v>
      </c>
      <c r="H990" t="str">
        <f>"00000000"</f>
        <v>00000000</v>
      </c>
      <c r="I990" t="s">
        <v>39</v>
      </c>
      <c r="J990"/>
      <c r="K990">
        <v>237.29</v>
      </c>
      <c r="L990">
        <v>0.0</v>
      </c>
      <c r="M990"/>
      <c r="N990"/>
      <c r="O990">
        <v>42.71</v>
      </c>
      <c r="P990">
        <v>0.0</v>
      </c>
      <c r="Q990">
        <v>280.0</v>
      </c>
      <c r="R990"/>
      <c r="S990"/>
      <c r="T990"/>
      <c r="U990"/>
      <c r="V990"/>
      <c r="W990">
        <v>18</v>
      </c>
    </row>
    <row r="991" spans="1:23">
      <c r="A991"/>
      <c r="B991" t="s">
        <v>87</v>
      </c>
      <c r="C991" t="s">
        <v>87</v>
      </c>
      <c r="D991" t="s">
        <v>37</v>
      </c>
      <c r="E991" t="s">
        <v>38</v>
      </c>
      <c r="F991" t="str">
        <f>"0001096"</f>
        <v>0001096</v>
      </c>
      <c r="G991">
        <v>1</v>
      </c>
      <c r="H991" t="str">
        <f>"00000000"</f>
        <v>00000000</v>
      </c>
      <c r="I991" t="s">
        <v>39</v>
      </c>
      <c r="J991"/>
      <c r="K991">
        <v>406.78</v>
      </c>
      <c r="L991">
        <v>0.0</v>
      </c>
      <c r="M991"/>
      <c r="N991"/>
      <c r="O991">
        <v>73.22</v>
      </c>
      <c r="P991">
        <v>0.0</v>
      </c>
      <c r="Q991">
        <v>480.0</v>
      </c>
      <c r="R991"/>
      <c r="S991"/>
      <c r="T991"/>
      <c r="U991"/>
      <c r="V991"/>
      <c r="W991">
        <v>18</v>
      </c>
    </row>
    <row r="992" spans="1:23">
      <c r="A992"/>
      <c r="B992" t="s">
        <v>87</v>
      </c>
      <c r="C992" t="s">
        <v>87</v>
      </c>
      <c r="D992" t="s">
        <v>37</v>
      </c>
      <c r="E992" t="s">
        <v>38</v>
      </c>
      <c r="F992" t="str">
        <f>"0001097"</f>
        <v>0001097</v>
      </c>
      <c r="G992">
        <v>1</v>
      </c>
      <c r="H992" t="str">
        <f>"00000000"</f>
        <v>00000000</v>
      </c>
      <c r="I992" t="s">
        <v>39</v>
      </c>
      <c r="J992"/>
      <c r="K992">
        <v>254.24</v>
      </c>
      <c r="L992">
        <v>0.0</v>
      </c>
      <c r="M992"/>
      <c r="N992"/>
      <c r="O992">
        <v>45.76</v>
      </c>
      <c r="P992">
        <v>0.0</v>
      </c>
      <c r="Q992">
        <v>300.0</v>
      </c>
      <c r="R992"/>
      <c r="S992"/>
      <c r="T992"/>
      <c r="U992"/>
      <c r="V992"/>
      <c r="W992">
        <v>18</v>
      </c>
    </row>
    <row r="993" spans="1:23">
      <c r="A993"/>
      <c r="B993" t="s">
        <v>87</v>
      </c>
      <c r="C993" t="s">
        <v>87</v>
      </c>
      <c r="D993" t="s">
        <v>37</v>
      </c>
      <c r="E993" t="s">
        <v>38</v>
      </c>
      <c r="F993" t="str">
        <f>"0001098"</f>
        <v>0001098</v>
      </c>
      <c r="G993">
        <v>1</v>
      </c>
      <c r="H993" t="str">
        <f>"00000000"</f>
        <v>00000000</v>
      </c>
      <c r="I993" t="s">
        <v>39</v>
      </c>
      <c r="J993"/>
      <c r="K993">
        <v>457.63</v>
      </c>
      <c r="L993">
        <v>0.0</v>
      </c>
      <c r="M993"/>
      <c r="N993"/>
      <c r="O993">
        <v>82.37</v>
      </c>
      <c r="P993">
        <v>0.0</v>
      </c>
      <c r="Q993">
        <v>540.0</v>
      </c>
      <c r="R993"/>
      <c r="S993"/>
      <c r="T993"/>
      <c r="U993"/>
      <c r="V993"/>
      <c r="W993">
        <v>18</v>
      </c>
    </row>
    <row r="994" spans="1:23">
      <c r="A994"/>
      <c r="B994" t="s">
        <v>87</v>
      </c>
      <c r="C994" t="s">
        <v>87</v>
      </c>
      <c r="D994" t="s">
        <v>37</v>
      </c>
      <c r="E994" t="s">
        <v>38</v>
      </c>
      <c r="F994" t="str">
        <f>"0001099"</f>
        <v>0001099</v>
      </c>
      <c r="G994">
        <v>1</v>
      </c>
      <c r="H994" t="str">
        <f>"00000000"</f>
        <v>00000000</v>
      </c>
      <c r="I994" t="s">
        <v>39</v>
      </c>
      <c r="J994"/>
      <c r="K994">
        <v>423.73</v>
      </c>
      <c r="L994">
        <v>0.0</v>
      </c>
      <c r="M994"/>
      <c r="N994"/>
      <c r="O994">
        <v>76.27</v>
      </c>
      <c r="P994">
        <v>0.0</v>
      </c>
      <c r="Q994">
        <v>500.0</v>
      </c>
      <c r="R994"/>
      <c r="S994"/>
      <c r="T994"/>
      <c r="U994"/>
      <c r="V994"/>
      <c r="W994">
        <v>18</v>
      </c>
    </row>
    <row r="995" spans="1:23">
      <c r="A995"/>
      <c r="B995" t="s">
        <v>87</v>
      </c>
      <c r="C995" t="s">
        <v>87</v>
      </c>
      <c r="D995" t="s">
        <v>37</v>
      </c>
      <c r="E995" t="s">
        <v>38</v>
      </c>
      <c r="F995" t="str">
        <f>"0001100"</f>
        <v>0001100</v>
      </c>
      <c r="G995">
        <v>1</v>
      </c>
      <c r="H995" t="str">
        <f>"00000000"</f>
        <v>00000000</v>
      </c>
      <c r="I995" t="s">
        <v>39</v>
      </c>
      <c r="J995"/>
      <c r="K995">
        <v>296.61</v>
      </c>
      <c r="L995">
        <v>0.0</v>
      </c>
      <c r="M995"/>
      <c r="N995"/>
      <c r="O995">
        <v>53.39</v>
      </c>
      <c r="P995">
        <v>0.0</v>
      </c>
      <c r="Q995">
        <v>350.0</v>
      </c>
      <c r="R995"/>
      <c r="S995"/>
      <c r="T995"/>
      <c r="U995"/>
      <c r="V995"/>
      <c r="W995">
        <v>18</v>
      </c>
    </row>
    <row r="996" spans="1:23">
      <c r="A996"/>
      <c r="B996" t="s">
        <v>87</v>
      </c>
      <c r="C996" t="s">
        <v>87</v>
      </c>
      <c r="D996" t="s">
        <v>37</v>
      </c>
      <c r="E996" t="s">
        <v>38</v>
      </c>
      <c r="F996" t="str">
        <f>"0001101"</f>
        <v>0001101</v>
      </c>
      <c r="G996">
        <v>1</v>
      </c>
      <c r="H996" t="str">
        <f>"00000000"</f>
        <v>00000000</v>
      </c>
      <c r="I996" t="s">
        <v>39</v>
      </c>
      <c r="J996"/>
      <c r="K996">
        <v>338.98</v>
      </c>
      <c r="L996">
        <v>0.0</v>
      </c>
      <c r="M996"/>
      <c r="N996"/>
      <c r="O996">
        <v>61.02</v>
      </c>
      <c r="P996">
        <v>0.0</v>
      </c>
      <c r="Q996">
        <v>400.0</v>
      </c>
      <c r="R996"/>
      <c r="S996"/>
      <c r="T996"/>
      <c r="U996"/>
      <c r="V996"/>
      <c r="W996">
        <v>18</v>
      </c>
    </row>
    <row r="997" spans="1:23">
      <c r="A997"/>
      <c r="B997" t="s">
        <v>87</v>
      </c>
      <c r="C997" t="s">
        <v>87</v>
      </c>
      <c r="D997" t="s">
        <v>37</v>
      </c>
      <c r="E997" t="s">
        <v>38</v>
      </c>
      <c r="F997" t="str">
        <f>"0001102"</f>
        <v>0001102</v>
      </c>
      <c r="G997">
        <v>1</v>
      </c>
      <c r="H997" t="str">
        <f>"00000000"</f>
        <v>00000000</v>
      </c>
      <c r="I997" t="s">
        <v>39</v>
      </c>
      <c r="J997"/>
      <c r="K997">
        <v>338.98</v>
      </c>
      <c r="L997">
        <v>0.0</v>
      </c>
      <c r="M997"/>
      <c r="N997"/>
      <c r="O997">
        <v>61.02</v>
      </c>
      <c r="P997">
        <v>0.0</v>
      </c>
      <c r="Q997">
        <v>400.0</v>
      </c>
      <c r="R997"/>
      <c r="S997"/>
      <c r="T997"/>
      <c r="U997"/>
      <c r="V997"/>
      <c r="W997">
        <v>18</v>
      </c>
    </row>
    <row r="998" spans="1:23">
      <c r="A998"/>
      <c r="B998" t="s">
        <v>87</v>
      </c>
      <c r="C998" t="s">
        <v>87</v>
      </c>
      <c r="D998" t="s">
        <v>37</v>
      </c>
      <c r="E998" t="s">
        <v>38</v>
      </c>
      <c r="F998" t="str">
        <f>"0001103"</f>
        <v>0001103</v>
      </c>
      <c r="G998">
        <v>1</v>
      </c>
      <c r="H998" t="str">
        <f>"00000000"</f>
        <v>00000000</v>
      </c>
      <c r="I998" t="s">
        <v>39</v>
      </c>
      <c r="J998"/>
      <c r="K998">
        <v>296.61</v>
      </c>
      <c r="L998">
        <v>0.0</v>
      </c>
      <c r="M998"/>
      <c r="N998"/>
      <c r="O998">
        <v>53.39</v>
      </c>
      <c r="P998">
        <v>0.0</v>
      </c>
      <c r="Q998">
        <v>350.0</v>
      </c>
      <c r="R998"/>
      <c r="S998"/>
      <c r="T998"/>
      <c r="U998"/>
      <c r="V998"/>
      <c r="W998">
        <v>18</v>
      </c>
    </row>
    <row r="999" spans="1:23">
      <c r="A999"/>
      <c r="B999" t="s">
        <v>87</v>
      </c>
      <c r="C999" t="s">
        <v>87</v>
      </c>
      <c r="D999" t="s">
        <v>37</v>
      </c>
      <c r="E999" t="s">
        <v>38</v>
      </c>
      <c r="F999" t="str">
        <f>"0001104"</f>
        <v>0001104</v>
      </c>
      <c r="G999">
        <v>1</v>
      </c>
      <c r="H999" t="str">
        <f>"00000000"</f>
        <v>00000000</v>
      </c>
      <c r="I999" t="s">
        <v>39</v>
      </c>
      <c r="J999"/>
      <c r="K999">
        <v>355.93</v>
      </c>
      <c r="L999">
        <v>0.0</v>
      </c>
      <c r="M999"/>
      <c r="N999"/>
      <c r="O999">
        <v>64.07</v>
      </c>
      <c r="P999">
        <v>0.0</v>
      </c>
      <c r="Q999">
        <v>420.0</v>
      </c>
      <c r="R999"/>
      <c r="S999"/>
      <c r="T999"/>
      <c r="U999"/>
      <c r="V999"/>
      <c r="W999">
        <v>18</v>
      </c>
    </row>
    <row r="1000" spans="1:23">
      <c r="A1000"/>
      <c r="B1000" t="s">
        <v>87</v>
      </c>
      <c r="C1000" t="s">
        <v>87</v>
      </c>
      <c r="D1000" t="s">
        <v>37</v>
      </c>
      <c r="E1000" t="s">
        <v>38</v>
      </c>
      <c r="F1000" t="str">
        <f>"0001105"</f>
        <v>0001105</v>
      </c>
      <c r="G1000">
        <v>1</v>
      </c>
      <c r="H1000" t="str">
        <f>"00000000"</f>
        <v>00000000</v>
      </c>
      <c r="I1000" t="s">
        <v>39</v>
      </c>
      <c r="J1000"/>
      <c r="K1000">
        <v>372.88</v>
      </c>
      <c r="L1000">
        <v>0.0</v>
      </c>
      <c r="M1000"/>
      <c r="N1000"/>
      <c r="O1000">
        <v>67.12</v>
      </c>
      <c r="P1000">
        <v>0.0</v>
      </c>
      <c r="Q1000">
        <v>440.0</v>
      </c>
      <c r="R1000"/>
      <c r="S1000"/>
      <c r="T1000"/>
      <c r="U1000"/>
      <c r="V1000"/>
      <c r="W1000">
        <v>18</v>
      </c>
    </row>
    <row r="1001" spans="1:23">
      <c r="A1001"/>
      <c r="B1001" t="s">
        <v>87</v>
      </c>
      <c r="C1001" t="s">
        <v>87</v>
      </c>
      <c r="D1001" t="s">
        <v>37</v>
      </c>
      <c r="E1001" t="s">
        <v>38</v>
      </c>
      <c r="F1001" t="str">
        <f>"0001106"</f>
        <v>0001106</v>
      </c>
      <c r="G1001">
        <v>1</v>
      </c>
      <c r="H1001" t="str">
        <f>"00000000"</f>
        <v>00000000</v>
      </c>
      <c r="I1001" t="s">
        <v>39</v>
      </c>
      <c r="J1001"/>
      <c r="K1001">
        <v>211.86</v>
      </c>
      <c r="L1001">
        <v>0.0</v>
      </c>
      <c r="M1001"/>
      <c r="N1001"/>
      <c r="O1001">
        <v>38.14</v>
      </c>
      <c r="P1001">
        <v>0.0</v>
      </c>
      <c r="Q1001">
        <v>250.0</v>
      </c>
      <c r="R1001"/>
      <c r="S1001"/>
      <c r="T1001"/>
      <c r="U1001"/>
      <c r="V1001"/>
      <c r="W1001">
        <v>18</v>
      </c>
    </row>
    <row r="1002" spans="1:23">
      <c r="A1002"/>
      <c r="B1002" t="s">
        <v>87</v>
      </c>
      <c r="C1002" t="s">
        <v>87</v>
      </c>
      <c r="D1002" t="s">
        <v>37</v>
      </c>
      <c r="E1002" t="s">
        <v>38</v>
      </c>
      <c r="F1002" t="str">
        <f>"0001107"</f>
        <v>0001107</v>
      </c>
      <c r="G1002">
        <v>1</v>
      </c>
      <c r="H1002" t="str">
        <f>"00000000"</f>
        <v>00000000</v>
      </c>
      <c r="I1002" t="s">
        <v>39</v>
      </c>
      <c r="J1002"/>
      <c r="K1002">
        <v>313.56</v>
      </c>
      <c r="L1002">
        <v>0.0</v>
      </c>
      <c r="M1002"/>
      <c r="N1002"/>
      <c r="O1002">
        <v>56.44</v>
      </c>
      <c r="P1002">
        <v>0.0</v>
      </c>
      <c r="Q1002">
        <v>370.0</v>
      </c>
      <c r="R1002"/>
      <c r="S1002"/>
      <c r="T1002"/>
      <c r="U1002"/>
      <c r="V1002"/>
      <c r="W1002">
        <v>18</v>
      </c>
    </row>
    <row r="1003" spans="1:23">
      <c r="A1003"/>
      <c r="B1003" t="s">
        <v>87</v>
      </c>
      <c r="C1003" t="s">
        <v>87</v>
      </c>
      <c r="D1003" t="s">
        <v>37</v>
      </c>
      <c r="E1003" t="s">
        <v>38</v>
      </c>
      <c r="F1003" t="str">
        <f>"0001108"</f>
        <v>0001108</v>
      </c>
      <c r="G1003">
        <v>1</v>
      </c>
      <c r="H1003" t="str">
        <f>"00000000"</f>
        <v>00000000</v>
      </c>
      <c r="I1003" t="s">
        <v>39</v>
      </c>
      <c r="J1003"/>
      <c r="K1003">
        <v>296.61</v>
      </c>
      <c r="L1003">
        <v>0.0</v>
      </c>
      <c r="M1003"/>
      <c r="N1003"/>
      <c r="O1003">
        <v>53.39</v>
      </c>
      <c r="P1003">
        <v>0.0</v>
      </c>
      <c r="Q1003">
        <v>350.0</v>
      </c>
      <c r="R1003"/>
      <c r="S1003"/>
      <c r="T1003"/>
      <c r="U1003"/>
      <c r="V1003"/>
      <c r="W1003">
        <v>18</v>
      </c>
    </row>
    <row r="1004" spans="1:23">
      <c r="A1004"/>
      <c r="B1004" t="s">
        <v>87</v>
      </c>
      <c r="C1004" t="s">
        <v>87</v>
      </c>
      <c r="D1004" t="s">
        <v>37</v>
      </c>
      <c r="E1004" t="s">
        <v>38</v>
      </c>
      <c r="F1004" t="str">
        <f>"0001109"</f>
        <v>0001109</v>
      </c>
      <c r="G1004">
        <v>1</v>
      </c>
      <c r="H1004" t="str">
        <f>"00000000"</f>
        <v>00000000</v>
      </c>
      <c r="I1004" t="s">
        <v>39</v>
      </c>
      <c r="J1004"/>
      <c r="K1004">
        <v>228.81</v>
      </c>
      <c r="L1004">
        <v>0.0</v>
      </c>
      <c r="M1004"/>
      <c r="N1004"/>
      <c r="O1004">
        <v>41.19</v>
      </c>
      <c r="P1004">
        <v>0.0</v>
      </c>
      <c r="Q1004">
        <v>270.0</v>
      </c>
      <c r="R1004"/>
      <c r="S1004"/>
      <c r="T1004"/>
      <c r="U1004"/>
      <c r="V1004"/>
      <c r="W1004">
        <v>18</v>
      </c>
    </row>
    <row r="1005" spans="1:23">
      <c r="A1005"/>
      <c r="B1005" t="s">
        <v>87</v>
      </c>
      <c r="C1005" t="s">
        <v>87</v>
      </c>
      <c r="D1005" t="s">
        <v>37</v>
      </c>
      <c r="E1005" t="s">
        <v>38</v>
      </c>
      <c r="F1005" t="str">
        <f>"0001110"</f>
        <v>0001110</v>
      </c>
      <c r="G1005">
        <v>1</v>
      </c>
      <c r="H1005" t="str">
        <f>"00000000"</f>
        <v>00000000</v>
      </c>
      <c r="I1005" t="s">
        <v>39</v>
      </c>
      <c r="J1005"/>
      <c r="K1005">
        <v>228.81</v>
      </c>
      <c r="L1005">
        <v>0.0</v>
      </c>
      <c r="M1005"/>
      <c r="N1005"/>
      <c r="O1005">
        <v>41.19</v>
      </c>
      <c r="P1005">
        <v>0.0</v>
      </c>
      <c r="Q1005">
        <v>270.0</v>
      </c>
      <c r="R1005"/>
      <c r="S1005"/>
      <c r="T1005"/>
      <c r="U1005"/>
      <c r="V1005"/>
      <c r="W1005">
        <v>18</v>
      </c>
    </row>
    <row r="1006" spans="1:23">
      <c r="A1006"/>
      <c r="B1006" t="s">
        <v>87</v>
      </c>
      <c r="C1006" t="s">
        <v>87</v>
      </c>
      <c r="D1006" t="s">
        <v>37</v>
      </c>
      <c r="E1006" t="s">
        <v>38</v>
      </c>
      <c r="F1006" t="str">
        <f>"0001111"</f>
        <v>0001111</v>
      </c>
      <c r="G1006">
        <v>1</v>
      </c>
      <c r="H1006" t="str">
        <f>"00000000"</f>
        <v>00000000</v>
      </c>
      <c r="I1006" t="s">
        <v>39</v>
      </c>
      <c r="J1006"/>
      <c r="K1006">
        <v>296.61</v>
      </c>
      <c r="L1006">
        <v>0.0</v>
      </c>
      <c r="M1006"/>
      <c r="N1006"/>
      <c r="O1006">
        <v>53.39</v>
      </c>
      <c r="P1006">
        <v>0.0</v>
      </c>
      <c r="Q1006">
        <v>350.0</v>
      </c>
      <c r="R1006"/>
      <c r="S1006"/>
      <c r="T1006"/>
      <c r="U1006"/>
      <c r="V1006"/>
      <c r="W1006">
        <v>18</v>
      </c>
    </row>
    <row r="1007" spans="1:23">
      <c r="A1007"/>
      <c r="B1007" t="s">
        <v>87</v>
      </c>
      <c r="C1007" t="s">
        <v>87</v>
      </c>
      <c r="D1007" t="s">
        <v>37</v>
      </c>
      <c r="E1007" t="s">
        <v>38</v>
      </c>
      <c r="F1007" t="str">
        <f>"0001112"</f>
        <v>0001112</v>
      </c>
      <c r="G1007">
        <v>1</v>
      </c>
      <c r="H1007" t="str">
        <f>"00000000"</f>
        <v>00000000</v>
      </c>
      <c r="I1007" t="s">
        <v>39</v>
      </c>
      <c r="J1007"/>
      <c r="K1007">
        <v>296.61</v>
      </c>
      <c r="L1007">
        <v>0.0</v>
      </c>
      <c r="M1007"/>
      <c r="N1007"/>
      <c r="O1007">
        <v>53.39</v>
      </c>
      <c r="P1007">
        <v>0.0</v>
      </c>
      <c r="Q1007">
        <v>350.0</v>
      </c>
      <c r="R1007"/>
      <c r="S1007"/>
      <c r="T1007"/>
      <c r="U1007"/>
      <c r="V1007"/>
      <c r="W1007">
        <v>18</v>
      </c>
    </row>
    <row r="1008" spans="1:23">
      <c r="A1008"/>
      <c r="B1008" t="s">
        <v>87</v>
      </c>
      <c r="C1008" t="s">
        <v>87</v>
      </c>
      <c r="D1008" t="s">
        <v>37</v>
      </c>
      <c r="E1008" t="s">
        <v>38</v>
      </c>
      <c r="F1008" t="str">
        <f>"0001113"</f>
        <v>0001113</v>
      </c>
      <c r="G1008">
        <v>1</v>
      </c>
      <c r="H1008" t="str">
        <f>"00000000"</f>
        <v>00000000</v>
      </c>
      <c r="I1008" t="s">
        <v>39</v>
      </c>
      <c r="J1008"/>
      <c r="K1008">
        <v>381.36</v>
      </c>
      <c r="L1008">
        <v>0.0</v>
      </c>
      <c r="M1008"/>
      <c r="N1008"/>
      <c r="O1008">
        <v>68.64</v>
      </c>
      <c r="P1008">
        <v>0.0</v>
      </c>
      <c r="Q1008">
        <v>450.0</v>
      </c>
      <c r="R1008"/>
      <c r="S1008"/>
      <c r="T1008"/>
      <c r="U1008"/>
      <c r="V1008"/>
      <c r="W1008">
        <v>18</v>
      </c>
    </row>
    <row r="1009" spans="1:23">
      <c r="A1009"/>
      <c r="B1009" t="s">
        <v>87</v>
      </c>
      <c r="C1009" t="s">
        <v>87</v>
      </c>
      <c r="D1009" t="s">
        <v>37</v>
      </c>
      <c r="E1009" t="s">
        <v>38</v>
      </c>
      <c r="F1009" t="str">
        <f>"0001114"</f>
        <v>0001114</v>
      </c>
      <c r="G1009">
        <v>1</v>
      </c>
      <c r="H1009" t="str">
        <f>"00000000"</f>
        <v>00000000</v>
      </c>
      <c r="I1009" t="s">
        <v>39</v>
      </c>
      <c r="J1009"/>
      <c r="K1009">
        <v>423.73</v>
      </c>
      <c r="L1009">
        <v>0.0</v>
      </c>
      <c r="M1009"/>
      <c r="N1009"/>
      <c r="O1009">
        <v>76.27</v>
      </c>
      <c r="P1009">
        <v>0.0</v>
      </c>
      <c r="Q1009">
        <v>500.0</v>
      </c>
      <c r="R1009"/>
      <c r="S1009"/>
      <c r="T1009"/>
      <c r="U1009"/>
      <c r="V1009"/>
      <c r="W1009">
        <v>18</v>
      </c>
    </row>
    <row r="1010" spans="1:23">
      <c r="A1010"/>
      <c r="B1010" t="s">
        <v>87</v>
      </c>
      <c r="C1010" t="s">
        <v>87</v>
      </c>
      <c r="D1010" t="s">
        <v>37</v>
      </c>
      <c r="E1010" t="s">
        <v>38</v>
      </c>
      <c r="F1010" t="str">
        <f>"0001115"</f>
        <v>0001115</v>
      </c>
      <c r="G1010">
        <v>1</v>
      </c>
      <c r="H1010" t="str">
        <f>"00000000"</f>
        <v>00000000</v>
      </c>
      <c r="I1010" t="s">
        <v>39</v>
      </c>
      <c r="J1010"/>
      <c r="K1010">
        <v>449.15</v>
      </c>
      <c r="L1010">
        <v>0.0</v>
      </c>
      <c r="M1010"/>
      <c r="N1010"/>
      <c r="O1010">
        <v>80.85</v>
      </c>
      <c r="P1010">
        <v>0.0</v>
      </c>
      <c r="Q1010">
        <v>530.0</v>
      </c>
      <c r="R1010"/>
      <c r="S1010"/>
      <c r="T1010"/>
      <c r="U1010"/>
      <c r="V1010"/>
      <c r="W1010">
        <v>18</v>
      </c>
    </row>
    <row r="1011" spans="1:23">
      <c r="A1011"/>
      <c r="B1011" t="s">
        <v>87</v>
      </c>
      <c r="C1011" t="s">
        <v>87</v>
      </c>
      <c r="D1011" t="s">
        <v>37</v>
      </c>
      <c r="E1011" t="s">
        <v>38</v>
      </c>
      <c r="F1011" t="str">
        <f>"0001116"</f>
        <v>0001116</v>
      </c>
      <c r="G1011">
        <v>1</v>
      </c>
      <c r="H1011" t="str">
        <f>"00000000"</f>
        <v>00000000</v>
      </c>
      <c r="I1011" t="s">
        <v>39</v>
      </c>
      <c r="J1011"/>
      <c r="K1011">
        <v>338.98</v>
      </c>
      <c r="L1011">
        <v>0.0</v>
      </c>
      <c r="M1011"/>
      <c r="N1011"/>
      <c r="O1011">
        <v>61.02</v>
      </c>
      <c r="P1011">
        <v>0.0</v>
      </c>
      <c r="Q1011">
        <v>400.0</v>
      </c>
      <c r="R1011"/>
      <c r="S1011"/>
      <c r="T1011"/>
      <c r="U1011"/>
      <c r="V1011"/>
      <c r="W1011">
        <v>18</v>
      </c>
    </row>
    <row r="1012" spans="1:23">
      <c r="A1012"/>
      <c r="B1012" t="s">
        <v>87</v>
      </c>
      <c r="C1012" t="s">
        <v>87</v>
      </c>
      <c r="D1012" t="s">
        <v>37</v>
      </c>
      <c r="E1012" t="s">
        <v>38</v>
      </c>
      <c r="F1012" t="str">
        <f>"0001117"</f>
        <v>0001117</v>
      </c>
      <c r="G1012">
        <v>1</v>
      </c>
      <c r="H1012" t="str">
        <f>"00000000"</f>
        <v>00000000</v>
      </c>
      <c r="I1012" t="s">
        <v>39</v>
      </c>
      <c r="J1012"/>
      <c r="K1012">
        <v>372.88</v>
      </c>
      <c r="L1012">
        <v>0.0</v>
      </c>
      <c r="M1012"/>
      <c r="N1012"/>
      <c r="O1012">
        <v>67.12</v>
      </c>
      <c r="P1012">
        <v>0.0</v>
      </c>
      <c r="Q1012">
        <v>440.0</v>
      </c>
      <c r="R1012"/>
      <c r="S1012"/>
      <c r="T1012"/>
      <c r="U1012"/>
      <c r="V1012"/>
      <c r="W1012">
        <v>18</v>
      </c>
    </row>
    <row r="1013" spans="1:23">
      <c r="A1013"/>
      <c r="B1013" t="s">
        <v>87</v>
      </c>
      <c r="C1013" t="s">
        <v>87</v>
      </c>
      <c r="D1013" t="s">
        <v>37</v>
      </c>
      <c r="E1013" t="s">
        <v>38</v>
      </c>
      <c r="F1013" t="str">
        <f>"0001118"</f>
        <v>0001118</v>
      </c>
      <c r="G1013">
        <v>1</v>
      </c>
      <c r="H1013" t="str">
        <f>"00000000"</f>
        <v>00000000</v>
      </c>
      <c r="I1013" t="s">
        <v>39</v>
      </c>
      <c r="J1013"/>
      <c r="K1013">
        <v>355.93</v>
      </c>
      <c r="L1013">
        <v>0.0</v>
      </c>
      <c r="M1013"/>
      <c r="N1013"/>
      <c r="O1013">
        <v>64.07</v>
      </c>
      <c r="P1013">
        <v>0.0</v>
      </c>
      <c r="Q1013">
        <v>420.0</v>
      </c>
      <c r="R1013"/>
      <c r="S1013"/>
      <c r="T1013"/>
      <c r="U1013"/>
      <c r="V1013"/>
      <c r="W1013">
        <v>18</v>
      </c>
    </row>
    <row r="1014" spans="1:23">
      <c r="A1014"/>
      <c r="B1014" t="s">
        <v>87</v>
      </c>
      <c r="C1014" t="s">
        <v>87</v>
      </c>
      <c r="D1014" t="s">
        <v>37</v>
      </c>
      <c r="E1014" t="s">
        <v>38</v>
      </c>
      <c r="F1014" t="str">
        <f>"0001119"</f>
        <v>0001119</v>
      </c>
      <c r="G1014">
        <v>1</v>
      </c>
      <c r="H1014" t="str">
        <f>"00000000"</f>
        <v>00000000</v>
      </c>
      <c r="I1014" t="s">
        <v>39</v>
      </c>
      <c r="J1014"/>
      <c r="K1014">
        <v>296.61</v>
      </c>
      <c r="L1014">
        <v>0.0</v>
      </c>
      <c r="M1014"/>
      <c r="N1014"/>
      <c r="O1014">
        <v>53.39</v>
      </c>
      <c r="P1014">
        <v>0.0</v>
      </c>
      <c r="Q1014">
        <v>350.0</v>
      </c>
      <c r="R1014"/>
      <c r="S1014"/>
      <c r="T1014"/>
      <c r="U1014"/>
      <c r="V1014"/>
      <c r="W1014">
        <v>18</v>
      </c>
    </row>
    <row r="1015" spans="1:23">
      <c r="A1015"/>
      <c r="B1015" t="s">
        <v>87</v>
      </c>
      <c r="C1015" t="s">
        <v>87</v>
      </c>
      <c r="D1015" t="s">
        <v>37</v>
      </c>
      <c r="E1015" t="s">
        <v>38</v>
      </c>
      <c r="F1015" t="str">
        <f>"0001120"</f>
        <v>0001120</v>
      </c>
      <c r="G1015">
        <v>1</v>
      </c>
      <c r="H1015" t="str">
        <f>"00000000"</f>
        <v>00000000</v>
      </c>
      <c r="I1015" t="s">
        <v>39</v>
      </c>
      <c r="J1015"/>
      <c r="K1015">
        <v>305.08</v>
      </c>
      <c r="L1015">
        <v>0.0</v>
      </c>
      <c r="M1015"/>
      <c r="N1015"/>
      <c r="O1015">
        <v>54.92</v>
      </c>
      <c r="P1015">
        <v>0.0</v>
      </c>
      <c r="Q1015">
        <v>360.0</v>
      </c>
      <c r="R1015"/>
      <c r="S1015"/>
      <c r="T1015"/>
      <c r="U1015"/>
      <c r="V1015"/>
      <c r="W1015">
        <v>18</v>
      </c>
    </row>
    <row r="1016" spans="1:23">
      <c r="A1016"/>
      <c r="B1016" t="s">
        <v>87</v>
      </c>
      <c r="C1016" t="s">
        <v>87</v>
      </c>
      <c r="D1016" t="s">
        <v>37</v>
      </c>
      <c r="E1016" t="s">
        <v>38</v>
      </c>
      <c r="F1016" t="str">
        <f>"0001121"</f>
        <v>0001121</v>
      </c>
      <c r="G1016">
        <v>1</v>
      </c>
      <c r="H1016" t="str">
        <f>"00000000"</f>
        <v>00000000</v>
      </c>
      <c r="I1016" t="s">
        <v>39</v>
      </c>
      <c r="J1016"/>
      <c r="K1016">
        <v>372.88</v>
      </c>
      <c r="L1016">
        <v>0.0</v>
      </c>
      <c r="M1016"/>
      <c r="N1016"/>
      <c r="O1016">
        <v>67.12</v>
      </c>
      <c r="P1016">
        <v>0.0</v>
      </c>
      <c r="Q1016">
        <v>440.0</v>
      </c>
      <c r="R1016"/>
      <c r="S1016"/>
      <c r="T1016"/>
      <c r="U1016"/>
      <c r="V1016"/>
      <c r="W1016">
        <v>18</v>
      </c>
    </row>
    <row r="1017" spans="1:23">
      <c r="A1017"/>
      <c r="B1017" t="s">
        <v>87</v>
      </c>
      <c r="C1017" t="s">
        <v>87</v>
      </c>
      <c r="D1017" t="s">
        <v>37</v>
      </c>
      <c r="E1017" t="s">
        <v>38</v>
      </c>
      <c r="F1017" t="str">
        <f>"0001122"</f>
        <v>0001122</v>
      </c>
      <c r="G1017">
        <v>1</v>
      </c>
      <c r="H1017" t="str">
        <f>"00000000"</f>
        <v>00000000</v>
      </c>
      <c r="I1017" t="s">
        <v>39</v>
      </c>
      <c r="J1017"/>
      <c r="K1017">
        <v>296.61</v>
      </c>
      <c r="L1017">
        <v>0.0</v>
      </c>
      <c r="M1017"/>
      <c r="N1017"/>
      <c r="O1017">
        <v>53.39</v>
      </c>
      <c r="P1017">
        <v>0.0</v>
      </c>
      <c r="Q1017">
        <v>350.0</v>
      </c>
      <c r="R1017"/>
      <c r="S1017"/>
      <c r="T1017"/>
      <c r="U1017"/>
      <c r="V1017"/>
      <c r="W1017">
        <v>18</v>
      </c>
    </row>
    <row r="1018" spans="1:23">
      <c r="A1018"/>
      <c r="B1018" t="s">
        <v>88</v>
      </c>
      <c r="C1018" t="s">
        <v>88</v>
      </c>
      <c r="D1018" t="s">
        <v>37</v>
      </c>
      <c r="E1018" t="s">
        <v>38</v>
      </c>
      <c r="F1018" t="str">
        <f>"0001123"</f>
        <v>0001123</v>
      </c>
      <c r="G1018">
        <v>1</v>
      </c>
      <c r="H1018" t="str">
        <f>"00000000"</f>
        <v>00000000</v>
      </c>
      <c r="I1018" t="s">
        <v>39</v>
      </c>
      <c r="J1018"/>
      <c r="K1018">
        <v>415.25</v>
      </c>
      <c r="L1018">
        <v>0.0</v>
      </c>
      <c r="M1018"/>
      <c r="N1018"/>
      <c r="O1018">
        <v>74.75</v>
      </c>
      <c r="P1018">
        <v>0.0</v>
      </c>
      <c r="Q1018">
        <v>490.0</v>
      </c>
      <c r="R1018"/>
      <c r="S1018"/>
      <c r="T1018"/>
      <c r="U1018"/>
      <c r="V1018"/>
      <c r="W1018">
        <v>18</v>
      </c>
    </row>
    <row r="1019" spans="1:23">
      <c r="A1019"/>
      <c r="B1019" t="s">
        <v>88</v>
      </c>
      <c r="C1019" t="s">
        <v>88</v>
      </c>
      <c r="D1019" t="s">
        <v>37</v>
      </c>
      <c r="E1019" t="s">
        <v>38</v>
      </c>
      <c r="F1019" t="str">
        <f>"0001124"</f>
        <v>0001124</v>
      </c>
      <c r="G1019">
        <v>1</v>
      </c>
      <c r="H1019" t="str">
        <f>"00000000"</f>
        <v>00000000</v>
      </c>
      <c r="I1019" t="s">
        <v>39</v>
      </c>
      <c r="J1019"/>
      <c r="K1019">
        <v>296.61</v>
      </c>
      <c r="L1019">
        <v>0.0</v>
      </c>
      <c r="M1019"/>
      <c r="N1019"/>
      <c r="O1019">
        <v>53.39</v>
      </c>
      <c r="P1019">
        <v>0.0</v>
      </c>
      <c r="Q1019">
        <v>350.0</v>
      </c>
      <c r="R1019"/>
      <c r="S1019"/>
      <c r="T1019"/>
      <c r="U1019"/>
      <c r="V1019"/>
      <c r="W1019">
        <v>18</v>
      </c>
    </row>
    <row r="1020" spans="1:23">
      <c r="A1020"/>
      <c r="B1020" t="s">
        <v>88</v>
      </c>
      <c r="C1020" t="s">
        <v>88</v>
      </c>
      <c r="D1020" t="s">
        <v>37</v>
      </c>
      <c r="E1020" t="s">
        <v>38</v>
      </c>
      <c r="F1020" t="str">
        <f>"0001125"</f>
        <v>0001125</v>
      </c>
      <c r="G1020">
        <v>1</v>
      </c>
      <c r="H1020" t="str">
        <f>"00000000"</f>
        <v>00000000</v>
      </c>
      <c r="I1020" t="s">
        <v>39</v>
      </c>
      <c r="J1020"/>
      <c r="K1020">
        <v>330.51</v>
      </c>
      <c r="L1020">
        <v>0.0</v>
      </c>
      <c r="M1020"/>
      <c r="N1020"/>
      <c r="O1020">
        <v>59.49</v>
      </c>
      <c r="P1020">
        <v>0.0</v>
      </c>
      <c r="Q1020">
        <v>390.0</v>
      </c>
      <c r="R1020"/>
      <c r="S1020"/>
      <c r="T1020"/>
      <c r="U1020"/>
      <c r="V1020"/>
      <c r="W1020">
        <v>18</v>
      </c>
    </row>
    <row r="1021" spans="1:23">
      <c r="A1021"/>
      <c r="B1021" t="s">
        <v>88</v>
      </c>
      <c r="C1021" t="s">
        <v>88</v>
      </c>
      <c r="D1021" t="s">
        <v>37</v>
      </c>
      <c r="E1021" t="s">
        <v>38</v>
      </c>
      <c r="F1021" t="str">
        <f>"0001126"</f>
        <v>0001126</v>
      </c>
      <c r="G1021">
        <v>1</v>
      </c>
      <c r="H1021" t="str">
        <f>"00000000"</f>
        <v>00000000</v>
      </c>
      <c r="I1021" t="s">
        <v>39</v>
      </c>
      <c r="J1021"/>
      <c r="K1021">
        <v>254.24</v>
      </c>
      <c r="L1021">
        <v>0.0</v>
      </c>
      <c r="M1021"/>
      <c r="N1021"/>
      <c r="O1021">
        <v>45.76</v>
      </c>
      <c r="P1021">
        <v>0.0</v>
      </c>
      <c r="Q1021">
        <v>300.0</v>
      </c>
      <c r="R1021"/>
      <c r="S1021"/>
      <c r="T1021"/>
      <c r="U1021"/>
      <c r="V1021"/>
      <c r="W1021">
        <v>18</v>
      </c>
    </row>
    <row r="1022" spans="1:23">
      <c r="A1022"/>
      <c r="B1022" t="s">
        <v>88</v>
      </c>
      <c r="C1022" t="s">
        <v>88</v>
      </c>
      <c r="D1022" t="s">
        <v>37</v>
      </c>
      <c r="E1022" t="s">
        <v>38</v>
      </c>
      <c r="F1022" t="str">
        <f>"0001127"</f>
        <v>0001127</v>
      </c>
      <c r="G1022">
        <v>1</v>
      </c>
      <c r="H1022" t="str">
        <f>"00000000"</f>
        <v>00000000</v>
      </c>
      <c r="I1022" t="s">
        <v>39</v>
      </c>
      <c r="J1022"/>
      <c r="K1022">
        <v>381.36</v>
      </c>
      <c r="L1022">
        <v>0.0</v>
      </c>
      <c r="M1022"/>
      <c r="N1022"/>
      <c r="O1022">
        <v>68.64</v>
      </c>
      <c r="P1022">
        <v>0.0</v>
      </c>
      <c r="Q1022">
        <v>450.0</v>
      </c>
      <c r="R1022"/>
      <c r="S1022"/>
      <c r="T1022"/>
      <c r="U1022"/>
      <c r="V1022"/>
      <c r="W1022">
        <v>18</v>
      </c>
    </row>
    <row r="1023" spans="1:23">
      <c r="A1023"/>
      <c r="B1023" t="s">
        <v>88</v>
      </c>
      <c r="C1023" t="s">
        <v>88</v>
      </c>
      <c r="D1023" t="s">
        <v>37</v>
      </c>
      <c r="E1023" t="s">
        <v>38</v>
      </c>
      <c r="F1023" t="str">
        <f>"0001128"</f>
        <v>0001128</v>
      </c>
      <c r="G1023">
        <v>1</v>
      </c>
      <c r="H1023" t="str">
        <f>"00000000"</f>
        <v>00000000</v>
      </c>
      <c r="I1023" t="s">
        <v>39</v>
      </c>
      <c r="J1023"/>
      <c r="K1023">
        <v>296.61</v>
      </c>
      <c r="L1023">
        <v>0.0</v>
      </c>
      <c r="M1023"/>
      <c r="N1023"/>
      <c r="O1023">
        <v>53.39</v>
      </c>
      <c r="P1023">
        <v>0.0</v>
      </c>
      <c r="Q1023">
        <v>350.0</v>
      </c>
      <c r="R1023"/>
      <c r="S1023"/>
      <c r="T1023"/>
      <c r="U1023"/>
      <c r="V1023"/>
      <c r="W1023">
        <v>18</v>
      </c>
    </row>
    <row r="1024" spans="1:23">
      <c r="A1024"/>
      <c r="B1024" t="s">
        <v>88</v>
      </c>
      <c r="C1024" t="s">
        <v>88</v>
      </c>
      <c r="D1024" t="s">
        <v>37</v>
      </c>
      <c r="E1024" t="s">
        <v>38</v>
      </c>
      <c r="F1024" t="str">
        <f>"0001129"</f>
        <v>0001129</v>
      </c>
      <c r="G1024">
        <v>1</v>
      </c>
      <c r="H1024" t="str">
        <f>"00000000"</f>
        <v>00000000</v>
      </c>
      <c r="I1024" t="s">
        <v>39</v>
      </c>
      <c r="J1024"/>
      <c r="K1024">
        <v>228.81</v>
      </c>
      <c r="L1024">
        <v>0.0</v>
      </c>
      <c r="M1024"/>
      <c r="N1024"/>
      <c r="O1024">
        <v>41.19</v>
      </c>
      <c r="P1024">
        <v>0.0</v>
      </c>
      <c r="Q1024">
        <v>270.0</v>
      </c>
      <c r="R1024"/>
      <c r="S1024"/>
      <c r="T1024"/>
      <c r="U1024"/>
      <c r="V1024"/>
      <c r="W1024">
        <v>18</v>
      </c>
    </row>
    <row r="1025" spans="1:23">
      <c r="A1025"/>
      <c r="B1025" t="s">
        <v>88</v>
      </c>
      <c r="C1025" t="s">
        <v>88</v>
      </c>
      <c r="D1025" t="s">
        <v>37</v>
      </c>
      <c r="E1025" t="s">
        <v>38</v>
      </c>
      <c r="F1025" t="str">
        <f>"0001130"</f>
        <v>0001130</v>
      </c>
      <c r="G1025">
        <v>1</v>
      </c>
      <c r="H1025" t="str">
        <f>"00000000"</f>
        <v>00000000</v>
      </c>
      <c r="I1025" t="s">
        <v>39</v>
      </c>
      <c r="J1025"/>
      <c r="K1025">
        <v>296.61</v>
      </c>
      <c r="L1025">
        <v>0.0</v>
      </c>
      <c r="M1025"/>
      <c r="N1025"/>
      <c r="O1025">
        <v>53.39</v>
      </c>
      <c r="P1025">
        <v>0.0</v>
      </c>
      <c r="Q1025">
        <v>350.0</v>
      </c>
      <c r="R1025"/>
      <c r="S1025"/>
      <c r="T1025"/>
      <c r="U1025"/>
      <c r="V1025"/>
      <c r="W1025">
        <v>18</v>
      </c>
    </row>
    <row r="1026" spans="1:23">
      <c r="A1026"/>
      <c r="B1026" t="s">
        <v>88</v>
      </c>
      <c r="C1026" t="s">
        <v>88</v>
      </c>
      <c r="D1026" t="s">
        <v>37</v>
      </c>
      <c r="E1026" t="s">
        <v>38</v>
      </c>
      <c r="F1026" t="str">
        <f>"0001131"</f>
        <v>0001131</v>
      </c>
      <c r="G1026">
        <v>1</v>
      </c>
      <c r="H1026" t="str">
        <f>"00000000"</f>
        <v>00000000</v>
      </c>
      <c r="I1026" t="s">
        <v>39</v>
      </c>
      <c r="J1026"/>
      <c r="K1026">
        <v>305.08</v>
      </c>
      <c r="L1026">
        <v>0.0</v>
      </c>
      <c r="M1026"/>
      <c r="N1026"/>
      <c r="O1026">
        <v>54.92</v>
      </c>
      <c r="P1026">
        <v>0.0</v>
      </c>
      <c r="Q1026">
        <v>360.0</v>
      </c>
      <c r="R1026"/>
      <c r="S1026"/>
      <c r="T1026"/>
      <c r="U1026"/>
      <c r="V1026"/>
      <c r="W1026">
        <v>18</v>
      </c>
    </row>
    <row r="1027" spans="1:23">
      <c r="A1027"/>
      <c r="B1027" t="s">
        <v>88</v>
      </c>
      <c r="C1027" t="s">
        <v>88</v>
      </c>
      <c r="D1027" t="s">
        <v>37</v>
      </c>
      <c r="E1027" t="s">
        <v>38</v>
      </c>
      <c r="F1027" t="str">
        <f>"0001132"</f>
        <v>0001132</v>
      </c>
      <c r="G1027">
        <v>1</v>
      </c>
      <c r="H1027" t="str">
        <f>"00000000"</f>
        <v>00000000</v>
      </c>
      <c r="I1027" t="s">
        <v>39</v>
      </c>
      <c r="J1027"/>
      <c r="K1027">
        <v>381.36</v>
      </c>
      <c r="L1027">
        <v>0.0</v>
      </c>
      <c r="M1027"/>
      <c r="N1027"/>
      <c r="O1027">
        <v>68.64</v>
      </c>
      <c r="P1027">
        <v>0.0</v>
      </c>
      <c r="Q1027">
        <v>450.0</v>
      </c>
      <c r="R1027"/>
      <c r="S1027"/>
      <c r="T1027"/>
      <c r="U1027"/>
      <c r="V1027"/>
      <c r="W1027">
        <v>18</v>
      </c>
    </row>
    <row r="1028" spans="1:23">
      <c r="A1028"/>
      <c r="B1028" t="s">
        <v>88</v>
      </c>
      <c r="C1028" t="s">
        <v>88</v>
      </c>
      <c r="D1028" t="s">
        <v>37</v>
      </c>
      <c r="E1028" t="s">
        <v>38</v>
      </c>
      <c r="F1028" t="str">
        <f>"0001133"</f>
        <v>0001133</v>
      </c>
      <c r="G1028">
        <v>1</v>
      </c>
      <c r="H1028" t="str">
        <f>"00000000"</f>
        <v>00000000</v>
      </c>
      <c r="I1028" t="s">
        <v>39</v>
      </c>
      <c r="J1028"/>
      <c r="K1028">
        <v>423.73</v>
      </c>
      <c r="L1028">
        <v>0.0</v>
      </c>
      <c r="M1028"/>
      <c r="N1028"/>
      <c r="O1028">
        <v>76.27</v>
      </c>
      <c r="P1028">
        <v>0.0</v>
      </c>
      <c r="Q1028">
        <v>500.0</v>
      </c>
      <c r="R1028"/>
      <c r="S1028"/>
      <c r="T1028"/>
      <c r="U1028"/>
      <c r="V1028"/>
      <c r="W1028">
        <v>18</v>
      </c>
    </row>
    <row r="1029" spans="1:23">
      <c r="A1029"/>
      <c r="B1029" t="s">
        <v>88</v>
      </c>
      <c r="C1029" t="s">
        <v>88</v>
      </c>
      <c r="D1029" t="s">
        <v>37</v>
      </c>
      <c r="E1029" t="s">
        <v>38</v>
      </c>
      <c r="F1029" t="str">
        <f>"0001134"</f>
        <v>0001134</v>
      </c>
      <c r="G1029">
        <v>1</v>
      </c>
      <c r="H1029" t="str">
        <f>"00000000"</f>
        <v>00000000</v>
      </c>
      <c r="I1029" t="s">
        <v>39</v>
      </c>
      <c r="J1029"/>
      <c r="K1029">
        <v>296.61</v>
      </c>
      <c r="L1029">
        <v>0.0</v>
      </c>
      <c r="M1029"/>
      <c r="N1029"/>
      <c r="O1029">
        <v>53.39</v>
      </c>
      <c r="P1029">
        <v>0.0</v>
      </c>
      <c r="Q1029">
        <v>350.0</v>
      </c>
      <c r="R1029"/>
      <c r="S1029"/>
      <c r="T1029"/>
      <c r="U1029"/>
      <c r="V1029"/>
      <c r="W1029">
        <v>18</v>
      </c>
    </row>
    <row r="1030" spans="1:23">
      <c r="A1030"/>
      <c r="B1030" t="s">
        <v>88</v>
      </c>
      <c r="C1030" t="s">
        <v>88</v>
      </c>
      <c r="D1030" t="s">
        <v>37</v>
      </c>
      <c r="E1030" t="s">
        <v>38</v>
      </c>
      <c r="F1030" t="str">
        <f>"0001135"</f>
        <v>0001135</v>
      </c>
      <c r="G1030">
        <v>1</v>
      </c>
      <c r="H1030" t="str">
        <f>"00000000"</f>
        <v>00000000</v>
      </c>
      <c r="I1030" t="s">
        <v>39</v>
      </c>
      <c r="J1030"/>
      <c r="K1030">
        <v>296.61</v>
      </c>
      <c r="L1030">
        <v>0.0</v>
      </c>
      <c r="M1030"/>
      <c r="N1030"/>
      <c r="O1030">
        <v>53.39</v>
      </c>
      <c r="P1030">
        <v>0.0</v>
      </c>
      <c r="Q1030">
        <v>350.0</v>
      </c>
      <c r="R1030"/>
      <c r="S1030"/>
      <c r="T1030"/>
      <c r="U1030"/>
      <c r="V1030"/>
      <c r="W1030">
        <v>18</v>
      </c>
    </row>
    <row r="1031" spans="1:23">
      <c r="A1031"/>
      <c r="B1031" t="s">
        <v>88</v>
      </c>
      <c r="C1031" t="s">
        <v>88</v>
      </c>
      <c r="D1031" t="s">
        <v>37</v>
      </c>
      <c r="E1031" t="s">
        <v>38</v>
      </c>
      <c r="F1031" t="str">
        <f>"0001136"</f>
        <v>0001136</v>
      </c>
      <c r="G1031">
        <v>1</v>
      </c>
      <c r="H1031" t="str">
        <f>"00000000"</f>
        <v>00000000</v>
      </c>
      <c r="I1031" t="s">
        <v>39</v>
      </c>
      <c r="J1031"/>
      <c r="K1031">
        <v>406.78</v>
      </c>
      <c r="L1031">
        <v>0.0</v>
      </c>
      <c r="M1031"/>
      <c r="N1031"/>
      <c r="O1031">
        <v>73.22</v>
      </c>
      <c r="P1031">
        <v>0.0</v>
      </c>
      <c r="Q1031">
        <v>480.0</v>
      </c>
      <c r="R1031"/>
      <c r="S1031"/>
      <c r="T1031"/>
      <c r="U1031"/>
      <c r="V1031"/>
      <c r="W1031">
        <v>18</v>
      </c>
    </row>
    <row r="1032" spans="1:23">
      <c r="A1032"/>
      <c r="B1032" t="s">
        <v>88</v>
      </c>
      <c r="C1032" t="s">
        <v>88</v>
      </c>
      <c r="D1032" t="s">
        <v>37</v>
      </c>
      <c r="E1032" t="s">
        <v>38</v>
      </c>
      <c r="F1032" t="str">
        <f>"0001137"</f>
        <v>0001137</v>
      </c>
      <c r="G1032">
        <v>1</v>
      </c>
      <c r="H1032" t="str">
        <f>"00000000"</f>
        <v>00000000</v>
      </c>
      <c r="I1032" t="s">
        <v>39</v>
      </c>
      <c r="J1032"/>
      <c r="K1032">
        <v>220.34</v>
      </c>
      <c r="L1032">
        <v>0.0</v>
      </c>
      <c r="M1032"/>
      <c r="N1032"/>
      <c r="O1032">
        <v>39.66</v>
      </c>
      <c r="P1032">
        <v>0.0</v>
      </c>
      <c r="Q1032">
        <v>260.0</v>
      </c>
      <c r="R1032"/>
      <c r="S1032"/>
      <c r="T1032"/>
      <c r="U1032"/>
      <c r="V1032"/>
      <c r="W1032">
        <v>18</v>
      </c>
    </row>
    <row r="1033" spans="1:23">
      <c r="A1033"/>
      <c r="B1033" t="s">
        <v>88</v>
      </c>
      <c r="C1033" t="s">
        <v>88</v>
      </c>
      <c r="D1033" t="s">
        <v>37</v>
      </c>
      <c r="E1033" t="s">
        <v>38</v>
      </c>
      <c r="F1033" t="str">
        <f>"0001138"</f>
        <v>0001138</v>
      </c>
      <c r="G1033">
        <v>1</v>
      </c>
      <c r="H1033" t="str">
        <f>"00000000"</f>
        <v>00000000</v>
      </c>
      <c r="I1033" t="s">
        <v>39</v>
      </c>
      <c r="J1033"/>
      <c r="K1033">
        <v>372.88</v>
      </c>
      <c r="L1033">
        <v>0.0</v>
      </c>
      <c r="M1033"/>
      <c r="N1033"/>
      <c r="O1033">
        <v>67.12</v>
      </c>
      <c r="P1033">
        <v>0.0</v>
      </c>
      <c r="Q1033">
        <v>440.0</v>
      </c>
      <c r="R1033"/>
      <c r="S1033"/>
      <c r="T1033"/>
      <c r="U1033"/>
      <c r="V1033"/>
      <c r="W1033">
        <v>18</v>
      </c>
    </row>
    <row r="1034" spans="1:23">
      <c r="A1034"/>
      <c r="B1034" t="s">
        <v>88</v>
      </c>
      <c r="C1034" t="s">
        <v>88</v>
      </c>
      <c r="D1034" t="s">
        <v>37</v>
      </c>
      <c r="E1034" t="s">
        <v>38</v>
      </c>
      <c r="F1034" t="str">
        <f>"0001139"</f>
        <v>0001139</v>
      </c>
      <c r="G1034">
        <v>1</v>
      </c>
      <c r="H1034" t="str">
        <f>"00000000"</f>
        <v>00000000</v>
      </c>
      <c r="I1034" t="s">
        <v>39</v>
      </c>
      <c r="J1034"/>
      <c r="K1034">
        <v>423.73</v>
      </c>
      <c r="L1034">
        <v>0.0</v>
      </c>
      <c r="M1034"/>
      <c r="N1034"/>
      <c r="O1034">
        <v>76.27</v>
      </c>
      <c r="P1034">
        <v>0.0</v>
      </c>
      <c r="Q1034">
        <v>500.0</v>
      </c>
      <c r="R1034"/>
      <c r="S1034"/>
      <c r="T1034"/>
      <c r="U1034"/>
      <c r="V1034"/>
      <c r="W1034">
        <v>18</v>
      </c>
    </row>
    <row r="1035" spans="1:23">
      <c r="A1035"/>
      <c r="B1035" t="s">
        <v>88</v>
      </c>
      <c r="C1035" t="s">
        <v>88</v>
      </c>
      <c r="D1035" t="s">
        <v>37</v>
      </c>
      <c r="E1035" t="s">
        <v>38</v>
      </c>
      <c r="F1035" t="str">
        <f>"0001140"</f>
        <v>0001140</v>
      </c>
      <c r="G1035">
        <v>1</v>
      </c>
      <c r="H1035" t="str">
        <f>"00000000"</f>
        <v>00000000</v>
      </c>
      <c r="I1035" t="s">
        <v>39</v>
      </c>
      <c r="J1035"/>
      <c r="K1035">
        <v>322.03</v>
      </c>
      <c r="L1035">
        <v>0.0</v>
      </c>
      <c r="M1035"/>
      <c r="N1035"/>
      <c r="O1035">
        <v>57.97</v>
      </c>
      <c r="P1035">
        <v>0.0</v>
      </c>
      <c r="Q1035">
        <v>380.0</v>
      </c>
      <c r="R1035"/>
      <c r="S1035"/>
      <c r="T1035"/>
      <c r="U1035"/>
      <c r="V1035"/>
      <c r="W1035">
        <v>18</v>
      </c>
    </row>
    <row r="1036" spans="1:23">
      <c r="A1036"/>
      <c r="B1036" t="s">
        <v>88</v>
      </c>
      <c r="C1036" t="s">
        <v>88</v>
      </c>
      <c r="D1036" t="s">
        <v>37</v>
      </c>
      <c r="E1036" t="s">
        <v>38</v>
      </c>
      <c r="F1036" t="str">
        <f>"0001141"</f>
        <v>0001141</v>
      </c>
      <c r="G1036">
        <v>1</v>
      </c>
      <c r="H1036" t="str">
        <f>"00000000"</f>
        <v>00000000</v>
      </c>
      <c r="I1036" t="s">
        <v>39</v>
      </c>
      <c r="J1036"/>
      <c r="K1036">
        <v>423.73</v>
      </c>
      <c r="L1036">
        <v>0.0</v>
      </c>
      <c r="M1036"/>
      <c r="N1036"/>
      <c r="O1036">
        <v>76.27</v>
      </c>
      <c r="P1036">
        <v>0.0</v>
      </c>
      <c r="Q1036">
        <v>500.0</v>
      </c>
      <c r="R1036"/>
      <c r="S1036"/>
      <c r="T1036"/>
      <c r="U1036"/>
      <c r="V1036"/>
      <c r="W1036">
        <v>18</v>
      </c>
    </row>
    <row r="1037" spans="1:23">
      <c r="A1037"/>
      <c r="B1037" t="s">
        <v>88</v>
      </c>
      <c r="C1037" t="s">
        <v>88</v>
      </c>
      <c r="D1037" t="s">
        <v>37</v>
      </c>
      <c r="E1037" t="s">
        <v>38</v>
      </c>
      <c r="F1037" t="str">
        <f>"0001142"</f>
        <v>0001142</v>
      </c>
      <c r="G1037">
        <v>1</v>
      </c>
      <c r="H1037" t="str">
        <f>"00000000"</f>
        <v>00000000</v>
      </c>
      <c r="I1037" t="s">
        <v>39</v>
      </c>
      <c r="J1037"/>
      <c r="K1037">
        <v>254.24</v>
      </c>
      <c r="L1037">
        <v>0.0</v>
      </c>
      <c r="M1037"/>
      <c r="N1037"/>
      <c r="O1037">
        <v>45.76</v>
      </c>
      <c r="P1037">
        <v>0.0</v>
      </c>
      <c r="Q1037">
        <v>300.0</v>
      </c>
      <c r="R1037"/>
      <c r="S1037"/>
      <c r="T1037"/>
      <c r="U1037"/>
      <c r="V1037"/>
      <c r="W1037">
        <v>18</v>
      </c>
    </row>
    <row r="1038" spans="1:23">
      <c r="A1038"/>
      <c r="B1038" t="s">
        <v>88</v>
      </c>
      <c r="C1038" t="s">
        <v>88</v>
      </c>
      <c r="D1038" t="s">
        <v>37</v>
      </c>
      <c r="E1038" t="s">
        <v>38</v>
      </c>
      <c r="F1038" t="str">
        <f>"0001143"</f>
        <v>0001143</v>
      </c>
      <c r="G1038">
        <v>1</v>
      </c>
      <c r="H1038" t="str">
        <f>"00000000"</f>
        <v>00000000</v>
      </c>
      <c r="I1038" t="s">
        <v>39</v>
      </c>
      <c r="J1038"/>
      <c r="K1038">
        <v>271.19</v>
      </c>
      <c r="L1038">
        <v>0.0</v>
      </c>
      <c r="M1038"/>
      <c r="N1038"/>
      <c r="O1038">
        <v>48.81</v>
      </c>
      <c r="P1038">
        <v>0.0</v>
      </c>
      <c r="Q1038">
        <v>320.0</v>
      </c>
      <c r="R1038"/>
      <c r="S1038"/>
      <c r="T1038"/>
      <c r="U1038"/>
      <c r="V1038"/>
      <c r="W1038">
        <v>18</v>
      </c>
    </row>
    <row r="1039" spans="1:23">
      <c r="A1039"/>
      <c r="B1039" t="s">
        <v>88</v>
      </c>
      <c r="C1039" t="s">
        <v>88</v>
      </c>
      <c r="D1039" t="s">
        <v>37</v>
      </c>
      <c r="E1039" t="s">
        <v>38</v>
      </c>
      <c r="F1039" t="str">
        <f>"0001144"</f>
        <v>0001144</v>
      </c>
      <c r="G1039">
        <v>1</v>
      </c>
      <c r="H1039" t="str">
        <f>"00000000"</f>
        <v>00000000</v>
      </c>
      <c r="I1039" t="s">
        <v>39</v>
      </c>
      <c r="J1039"/>
      <c r="K1039">
        <v>381.36</v>
      </c>
      <c r="L1039">
        <v>0.0</v>
      </c>
      <c r="M1039"/>
      <c r="N1039"/>
      <c r="O1039">
        <v>68.64</v>
      </c>
      <c r="P1039">
        <v>0.0</v>
      </c>
      <c r="Q1039">
        <v>450.0</v>
      </c>
      <c r="R1039"/>
      <c r="S1039"/>
      <c r="T1039"/>
      <c r="U1039"/>
      <c r="V1039"/>
      <c r="W1039">
        <v>18</v>
      </c>
    </row>
    <row r="1040" spans="1:23">
      <c r="A1040"/>
      <c r="B1040" t="s">
        <v>88</v>
      </c>
      <c r="C1040" t="s">
        <v>88</v>
      </c>
      <c r="D1040" t="s">
        <v>37</v>
      </c>
      <c r="E1040" t="s">
        <v>38</v>
      </c>
      <c r="F1040" t="str">
        <f>"0001145"</f>
        <v>0001145</v>
      </c>
      <c r="G1040">
        <v>1</v>
      </c>
      <c r="H1040" t="str">
        <f>"00000000"</f>
        <v>00000000</v>
      </c>
      <c r="I1040" t="s">
        <v>39</v>
      </c>
      <c r="J1040"/>
      <c r="K1040">
        <v>423.73</v>
      </c>
      <c r="L1040">
        <v>0.0</v>
      </c>
      <c r="M1040"/>
      <c r="N1040"/>
      <c r="O1040">
        <v>76.27</v>
      </c>
      <c r="P1040">
        <v>0.0</v>
      </c>
      <c r="Q1040">
        <v>500.0</v>
      </c>
      <c r="R1040"/>
      <c r="S1040"/>
      <c r="T1040"/>
      <c r="U1040"/>
      <c r="V1040"/>
      <c r="W1040">
        <v>18</v>
      </c>
    </row>
    <row r="1041" spans="1:23">
      <c r="A1041"/>
      <c r="B1041" t="s">
        <v>88</v>
      </c>
      <c r="C1041" t="s">
        <v>88</v>
      </c>
      <c r="D1041" t="s">
        <v>37</v>
      </c>
      <c r="E1041" t="s">
        <v>38</v>
      </c>
      <c r="F1041" t="str">
        <f>"0001146"</f>
        <v>0001146</v>
      </c>
      <c r="G1041">
        <v>1</v>
      </c>
      <c r="H1041" t="str">
        <f>"00000000"</f>
        <v>00000000</v>
      </c>
      <c r="I1041" t="s">
        <v>39</v>
      </c>
      <c r="J1041"/>
      <c r="K1041">
        <v>296.61</v>
      </c>
      <c r="L1041">
        <v>0.0</v>
      </c>
      <c r="M1041"/>
      <c r="N1041"/>
      <c r="O1041">
        <v>53.39</v>
      </c>
      <c r="P1041">
        <v>0.0</v>
      </c>
      <c r="Q1041">
        <v>350.0</v>
      </c>
      <c r="R1041"/>
      <c r="S1041"/>
      <c r="T1041"/>
      <c r="U1041"/>
      <c r="V1041"/>
      <c r="W1041">
        <v>18</v>
      </c>
    </row>
    <row r="1042" spans="1:23">
      <c r="A1042"/>
      <c r="B1042" t="s">
        <v>88</v>
      </c>
      <c r="C1042" t="s">
        <v>88</v>
      </c>
      <c r="D1042" t="s">
        <v>37</v>
      </c>
      <c r="E1042" t="s">
        <v>38</v>
      </c>
      <c r="F1042" t="str">
        <f>"0001147"</f>
        <v>0001147</v>
      </c>
      <c r="G1042">
        <v>1</v>
      </c>
      <c r="H1042" t="str">
        <f>"00000000"</f>
        <v>00000000</v>
      </c>
      <c r="I1042" t="s">
        <v>39</v>
      </c>
      <c r="J1042"/>
      <c r="K1042">
        <v>372.88</v>
      </c>
      <c r="L1042">
        <v>0.0</v>
      </c>
      <c r="M1042"/>
      <c r="N1042"/>
      <c r="O1042">
        <v>67.12</v>
      </c>
      <c r="P1042">
        <v>0.0</v>
      </c>
      <c r="Q1042">
        <v>440.0</v>
      </c>
      <c r="R1042"/>
      <c r="S1042"/>
      <c r="T1042"/>
      <c r="U1042"/>
      <c r="V1042"/>
      <c r="W1042">
        <v>18</v>
      </c>
    </row>
    <row r="1043" spans="1:23">
      <c r="A1043"/>
      <c r="B1043" t="s">
        <v>88</v>
      </c>
      <c r="C1043" t="s">
        <v>88</v>
      </c>
      <c r="D1043" t="s">
        <v>37</v>
      </c>
      <c r="E1043" t="s">
        <v>38</v>
      </c>
      <c r="F1043" t="str">
        <f>"0001148"</f>
        <v>0001148</v>
      </c>
      <c r="G1043">
        <v>1</v>
      </c>
      <c r="H1043" t="str">
        <f>"00000000"</f>
        <v>00000000</v>
      </c>
      <c r="I1043" t="s">
        <v>39</v>
      </c>
      <c r="J1043"/>
      <c r="K1043">
        <v>423.73</v>
      </c>
      <c r="L1043">
        <v>0.0</v>
      </c>
      <c r="M1043"/>
      <c r="N1043"/>
      <c r="O1043">
        <v>76.27</v>
      </c>
      <c r="P1043">
        <v>0.0</v>
      </c>
      <c r="Q1043">
        <v>500.0</v>
      </c>
      <c r="R1043"/>
      <c r="S1043"/>
      <c r="T1043"/>
      <c r="U1043"/>
      <c r="V1043"/>
      <c r="W1043">
        <v>18</v>
      </c>
    </row>
    <row r="1044" spans="1:23">
      <c r="A1044"/>
      <c r="B1044" t="s">
        <v>88</v>
      </c>
      <c r="C1044" t="s">
        <v>88</v>
      </c>
      <c r="D1044" t="s">
        <v>37</v>
      </c>
      <c r="E1044" t="s">
        <v>38</v>
      </c>
      <c r="F1044" t="str">
        <f>"0001149"</f>
        <v>0001149</v>
      </c>
      <c r="G1044">
        <v>1</v>
      </c>
      <c r="H1044" t="str">
        <f>"00000000"</f>
        <v>00000000</v>
      </c>
      <c r="I1044" t="s">
        <v>39</v>
      </c>
      <c r="J1044"/>
      <c r="K1044">
        <v>423.73</v>
      </c>
      <c r="L1044">
        <v>0.0</v>
      </c>
      <c r="M1044"/>
      <c r="N1044"/>
      <c r="O1044">
        <v>76.27</v>
      </c>
      <c r="P1044">
        <v>0.0</v>
      </c>
      <c r="Q1044">
        <v>500.0</v>
      </c>
      <c r="R1044"/>
      <c r="S1044"/>
      <c r="T1044"/>
      <c r="U1044"/>
      <c r="V1044"/>
      <c r="W1044">
        <v>18</v>
      </c>
    </row>
    <row r="1045" spans="1:23">
      <c r="A1045"/>
      <c r="B1045" t="s">
        <v>88</v>
      </c>
      <c r="C1045" t="s">
        <v>88</v>
      </c>
      <c r="D1045" t="s">
        <v>37</v>
      </c>
      <c r="E1045" t="s">
        <v>38</v>
      </c>
      <c r="F1045" t="str">
        <f>"0001150"</f>
        <v>0001150</v>
      </c>
      <c r="G1045">
        <v>1</v>
      </c>
      <c r="H1045" t="str">
        <f>"00000000"</f>
        <v>00000000</v>
      </c>
      <c r="I1045" t="s">
        <v>39</v>
      </c>
      <c r="J1045"/>
      <c r="K1045">
        <v>296.61</v>
      </c>
      <c r="L1045">
        <v>0.0</v>
      </c>
      <c r="M1045"/>
      <c r="N1045"/>
      <c r="O1045">
        <v>53.39</v>
      </c>
      <c r="P1045">
        <v>0.0</v>
      </c>
      <c r="Q1045">
        <v>350.0</v>
      </c>
      <c r="R1045"/>
      <c r="S1045"/>
      <c r="T1045"/>
      <c r="U1045"/>
      <c r="V1045"/>
      <c r="W1045">
        <v>18</v>
      </c>
    </row>
    <row r="1046" spans="1:23">
      <c r="A1046"/>
      <c r="B1046" t="s">
        <v>88</v>
      </c>
      <c r="C1046" t="s">
        <v>88</v>
      </c>
      <c r="D1046" t="s">
        <v>37</v>
      </c>
      <c r="E1046" t="s">
        <v>38</v>
      </c>
      <c r="F1046" t="str">
        <f>"0001151"</f>
        <v>0001151</v>
      </c>
      <c r="G1046">
        <v>1</v>
      </c>
      <c r="H1046" t="str">
        <f>"00000000"</f>
        <v>00000000</v>
      </c>
      <c r="I1046" t="s">
        <v>39</v>
      </c>
      <c r="J1046"/>
      <c r="K1046">
        <v>296.61</v>
      </c>
      <c r="L1046">
        <v>0.0</v>
      </c>
      <c r="M1046"/>
      <c r="N1046"/>
      <c r="O1046">
        <v>53.39</v>
      </c>
      <c r="P1046">
        <v>0.0</v>
      </c>
      <c r="Q1046">
        <v>350.0</v>
      </c>
      <c r="R1046"/>
      <c r="S1046"/>
      <c r="T1046"/>
      <c r="U1046"/>
      <c r="V1046"/>
      <c r="W1046">
        <v>18</v>
      </c>
    </row>
    <row r="1047" spans="1:23">
      <c r="A1047"/>
      <c r="B1047" t="s">
        <v>88</v>
      </c>
      <c r="C1047" t="s">
        <v>88</v>
      </c>
      <c r="D1047" t="s">
        <v>37</v>
      </c>
      <c r="E1047" t="s">
        <v>38</v>
      </c>
      <c r="F1047" t="str">
        <f>"0001152"</f>
        <v>0001152</v>
      </c>
      <c r="G1047">
        <v>1</v>
      </c>
      <c r="H1047" t="str">
        <f>"00000000"</f>
        <v>00000000</v>
      </c>
      <c r="I1047" t="s">
        <v>39</v>
      </c>
      <c r="J1047"/>
      <c r="K1047">
        <v>338.98</v>
      </c>
      <c r="L1047">
        <v>0.0</v>
      </c>
      <c r="M1047"/>
      <c r="N1047"/>
      <c r="O1047">
        <v>61.02</v>
      </c>
      <c r="P1047">
        <v>0.0</v>
      </c>
      <c r="Q1047">
        <v>400.0</v>
      </c>
      <c r="R1047"/>
      <c r="S1047"/>
      <c r="T1047"/>
      <c r="U1047"/>
      <c r="V1047"/>
      <c r="W1047">
        <v>18</v>
      </c>
    </row>
    <row r="1048" spans="1:23">
      <c r="A1048"/>
      <c r="B1048" t="s">
        <v>88</v>
      </c>
      <c r="C1048" t="s">
        <v>88</v>
      </c>
      <c r="D1048" t="s">
        <v>37</v>
      </c>
      <c r="E1048" t="s">
        <v>38</v>
      </c>
      <c r="F1048" t="str">
        <f>"0001153"</f>
        <v>0001153</v>
      </c>
      <c r="G1048">
        <v>1</v>
      </c>
      <c r="H1048" t="str">
        <f>"00000000"</f>
        <v>00000000</v>
      </c>
      <c r="I1048" t="s">
        <v>39</v>
      </c>
      <c r="J1048"/>
      <c r="K1048">
        <v>355.93</v>
      </c>
      <c r="L1048">
        <v>0.0</v>
      </c>
      <c r="M1048"/>
      <c r="N1048"/>
      <c r="O1048">
        <v>64.07</v>
      </c>
      <c r="P1048">
        <v>0.0</v>
      </c>
      <c r="Q1048">
        <v>420.0</v>
      </c>
      <c r="R1048"/>
      <c r="S1048"/>
      <c r="T1048"/>
      <c r="U1048"/>
      <c r="V1048"/>
      <c r="W1048">
        <v>18</v>
      </c>
    </row>
    <row r="1049" spans="1:23">
      <c r="A1049"/>
      <c r="B1049" t="s">
        <v>88</v>
      </c>
      <c r="C1049" t="s">
        <v>88</v>
      </c>
      <c r="D1049" t="s">
        <v>37</v>
      </c>
      <c r="E1049" t="s">
        <v>38</v>
      </c>
      <c r="F1049" t="str">
        <f>"0001154"</f>
        <v>0001154</v>
      </c>
      <c r="G1049">
        <v>1</v>
      </c>
      <c r="H1049" t="str">
        <f>"00000000"</f>
        <v>00000000</v>
      </c>
      <c r="I1049" t="s">
        <v>39</v>
      </c>
      <c r="J1049"/>
      <c r="K1049">
        <v>423.73</v>
      </c>
      <c r="L1049">
        <v>0.0</v>
      </c>
      <c r="M1049"/>
      <c r="N1049"/>
      <c r="O1049">
        <v>76.27</v>
      </c>
      <c r="P1049">
        <v>0.0</v>
      </c>
      <c r="Q1049">
        <v>500.0</v>
      </c>
      <c r="R1049"/>
      <c r="S1049"/>
      <c r="T1049"/>
      <c r="U1049"/>
      <c r="V1049"/>
      <c r="W1049">
        <v>18</v>
      </c>
    </row>
    <row r="1050" spans="1:23">
      <c r="A1050"/>
      <c r="B1050" t="s">
        <v>88</v>
      </c>
      <c r="C1050" t="s">
        <v>88</v>
      </c>
      <c r="D1050" t="s">
        <v>37</v>
      </c>
      <c r="E1050" t="s">
        <v>38</v>
      </c>
      <c r="F1050" t="str">
        <f>"0001155"</f>
        <v>0001155</v>
      </c>
      <c r="G1050">
        <v>1</v>
      </c>
      <c r="H1050" t="str">
        <f>"00000000"</f>
        <v>00000000</v>
      </c>
      <c r="I1050" t="s">
        <v>39</v>
      </c>
      <c r="J1050"/>
      <c r="K1050">
        <v>364.41</v>
      </c>
      <c r="L1050">
        <v>0.0</v>
      </c>
      <c r="M1050"/>
      <c r="N1050"/>
      <c r="O1050">
        <v>65.59</v>
      </c>
      <c r="P1050">
        <v>0.0</v>
      </c>
      <c r="Q1050">
        <v>430.0</v>
      </c>
      <c r="R1050"/>
      <c r="S1050"/>
      <c r="T1050"/>
      <c r="U1050"/>
      <c r="V1050"/>
      <c r="W1050">
        <v>18</v>
      </c>
    </row>
    <row r="1051" spans="1:23">
      <c r="A1051"/>
      <c r="B1051" t="s">
        <v>88</v>
      </c>
      <c r="C1051" t="s">
        <v>88</v>
      </c>
      <c r="D1051" t="s">
        <v>37</v>
      </c>
      <c r="E1051" t="s">
        <v>38</v>
      </c>
      <c r="F1051" t="str">
        <f>"0001156"</f>
        <v>0001156</v>
      </c>
      <c r="G1051">
        <v>1</v>
      </c>
      <c r="H1051" t="str">
        <f>"00000000"</f>
        <v>00000000</v>
      </c>
      <c r="I1051" t="s">
        <v>39</v>
      </c>
      <c r="J1051"/>
      <c r="K1051">
        <v>296.61</v>
      </c>
      <c r="L1051">
        <v>0.0</v>
      </c>
      <c r="M1051"/>
      <c r="N1051"/>
      <c r="O1051">
        <v>53.39</v>
      </c>
      <c r="P1051">
        <v>0.0</v>
      </c>
      <c r="Q1051">
        <v>350.0</v>
      </c>
      <c r="R1051"/>
      <c r="S1051"/>
      <c r="T1051"/>
      <c r="U1051"/>
      <c r="V1051"/>
      <c r="W1051">
        <v>18</v>
      </c>
    </row>
    <row r="1052" spans="1:23">
      <c r="A1052"/>
      <c r="B1052" t="s">
        <v>88</v>
      </c>
      <c r="C1052" t="s">
        <v>88</v>
      </c>
      <c r="D1052" t="s">
        <v>37</v>
      </c>
      <c r="E1052" t="s">
        <v>38</v>
      </c>
      <c r="F1052" t="str">
        <f>"0001157"</f>
        <v>0001157</v>
      </c>
      <c r="G1052">
        <v>1</v>
      </c>
      <c r="H1052" t="str">
        <f>"00000000"</f>
        <v>00000000</v>
      </c>
      <c r="I1052" t="s">
        <v>39</v>
      </c>
      <c r="J1052"/>
      <c r="K1052">
        <v>423.73</v>
      </c>
      <c r="L1052">
        <v>0.0</v>
      </c>
      <c r="M1052"/>
      <c r="N1052"/>
      <c r="O1052">
        <v>76.27</v>
      </c>
      <c r="P1052">
        <v>0.0</v>
      </c>
      <c r="Q1052">
        <v>500.0</v>
      </c>
      <c r="R1052"/>
      <c r="S1052"/>
      <c r="T1052"/>
      <c r="U1052"/>
      <c r="V1052"/>
      <c r="W1052">
        <v>18</v>
      </c>
    </row>
    <row r="1053" spans="1:23">
      <c r="A1053"/>
      <c r="B1053" t="s">
        <v>88</v>
      </c>
      <c r="C1053" t="s">
        <v>88</v>
      </c>
      <c r="D1053" t="s">
        <v>37</v>
      </c>
      <c r="E1053" t="s">
        <v>38</v>
      </c>
      <c r="F1053" t="str">
        <f>"0001158"</f>
        <v>0001158</v>
      </c>
      <c r="G1053">
        <v>1</v>
      </c>
      <c r="H1053" t="str">
        <f>"00000000"</f>
        <v>00000000</v>
      </c>
      <c r="I1053" t="s">
        <v>39</v>
      </c>
      <c r="J1053"/>
      <c r="K1053">
        <v>372.88</v>
      </c>
      <c r="L1053">
        <v>0.0</v>
      </c>
      <c r="M1053"/>
      <c r="N1053"/>
      <c r="O1053">
        <v>67.12</v>
      </c>
      <c r="P1053">
        <v>0.0</v>
      </c>
      <c r="Q1053">
        <v>440.0</v>
      </c>
      <c r="R1053"/>
      <c r="S1053"/>
      <c r="T1053"/>
      <c r="U1053"/>
      <c r="V1053"/>
      <c r="W1053">
        <v>18</v>
      </c>
    </row>
    <row r="1054" spans="1:23">
      <c r="A1054"/>
      <c r="B1054" t="s">
        <v>88</v>
      </c>
      <c r="C1054" t="s">
        <v>88</v>
      </c>
      <c r="D1054" t="s">
        <v>37</v>
      </c>
      <c r="E1054" t="s">
        <v>38</v>
      </c>
      <c r="F1054" t="str">
        <f>"0001159"</f>
        <v>0001159</v>
      </c>
      <c r="G1054">
        <v>1</v>
      </c>
      <c r="H1054" t="str">
        <f>"00000000"</f>
        <v>00000000</v>
      </c>
      <c r="I1054" t="s">
        <v>39</v>
      </c>
      <c r="J1054"/>
      <c r="K1054">
        <v>372.88</v>
      </c>
      <c r="L1054">
        <v>0.0</v>
      </c>
      <c r="M1054"/>
      <c r="N1054"/>
      <c r="O1054">
        <v>67.12</v>
      </c>
      <c r="P1054">
        <v>0.0</v>
      </c>
      <c r="Q1054">
        <v>440.0</v>
      </c>
      <c r="R1054"/>
      <c r="S1054"/>
      <c r="T1054"/>
      <c r="U1054"/>
      <c r="V1054"/>
      <c r="W1054">
        <v>18</v>
      </c>
    </row>
    <row r="1055" spans="1:23">
      <c r="A1055"/>
      <c r="B1055" t="s">
        <v>88</v>
      </c>
      <c r="C1055" t="s">
        <v>88</v>
      </c>
      <c r="D1055" t="s">
        <v>37</v>
      </c>
      <c r="E1055" t="s">
        <v>38</v>
      </c>
      <c r="F1055" t="str">
        <f>"0001160"</f>
        <v>0001160</v>
      </c>
      <c r="G1055">
        <v>1</v>
      </c>
      <c r="H1055" t="str">
        <f>"00000000"</f>
        <v>00000000</v>
      </c>
      <c r="I1055" t="s">
        <v>39</v>
      </c>
      <c r="J1055"/>
      <c r="K1055">
        <v>372.88</v>
      </c>
      <c r="L1055">
        <v>0.0</v>
      </c>
      <c r="M1055"/>
      <c r="N1055"/>
      <c r="O1055">
        <v>67.12</v>
      </c>
      <c r="P1055">
        <v>0.0</v>
      </c>
      <c r="Q1055">
        <v>440.0</v>
      </c>
      <c r="R1055"/>
      <c r="S1055"/>
      <c r="T1055"/>
      <c r="U1055"/>
      <c r="V1055"/>
      <c r="W1055">
        <v>18</v>
      </c>
    </row>
    <row r="1056" spans="1:23">
      <c r="A1056"/>
      <c r="B1056" t="s">
        <v>88</v>
      </c>
      <c r="C1056" t="s">
        <v>88</v>
      </c>
      <c r="D1056" t="s">
        <v>37</v>
      </c>
      <c r="E1056" t="s">
        <v>38</v>
      </c>
      <c r="F1056" t="str">
        <f>"0001161"</f>
        <v>0001161</v>
      </c>
      <c r="G1056">
        <v>1</v>
      </c>
      <c r="H1056" t="str">
        <f>"00000000"</f>
        <v>00000000</v>
      </c>
      <c r="I1056" t="s">
        <v>39</v>
      </c>
      <c r="J1056"/>
      <c r="K1056">
        <v>330.51</v>
      </c>
      <c r="L1056">
        <v>0.0</v>
      </c>
      <c r="M1056"/>
      <c r="N1056"/>
      <c r="O1056">
        <v>59.49</v>
      </c>
      <c r="P1056">
        <v>0.0</v>
      </c>
      <c r="Q1056">
        <v>390.0</v>
      </c>
      <c r="R1056"/>
      <c r="S1056"/>
      <c r="T1056"/>
      <c r="U1056"/>
      <c r="V1056"/>
      <c r="W1056">
        <v>18</v>
      </c>
    </row>
    <row r="1057" spans="1:23">
      <c r="A1057"/>
      <c r="B1057" t="s">
        <v>88</v>
      </c>
      <c r="C1057" t="s">
        <v>88</v>
      </c>
      <c r="D1057" t="s">
        <v>37</v>
      </c>
      <c r="E1057" t="s">
        <v>38</v>
      </c>
      <c r="F1057" t="str">
        <f>"0001162"</f>
        <v>0001162</v>
      </c>
      <c r="G1057">
        <v>1</v>
      </c>
      <c r="H1057" t="str">
        <f>"00000000"</f>
        <v>00000000</v>
      </c>
      <c r="I1057" t="s">
        <v>39</v>
      </c>
      <c r="J1057"/>
      <c r="K1057">
        <v>364.41</v>
      </c>
      <c r="L1057">
        <v>0.0</v>
      </c>
      <c r="M1057"/>
      <c r="N1057"/>
      <c r="O1057">
        <v>65.59</v>
      </c>
      <c r="P1057">
        <v>0.0</v>
      </c>
      <c r="Q1057">
        <v>430.0</v>
      </c>
      <c r="R1057"/>
      <c r="S1057"/>
      <c r="T1057"/>
      <c r="U1057"/>
      <c r="V1057"/>
      <c r="W1057">
        <v>18</v>
      </c>
    </row>
    <row r="1058" spans="1:23">
      <c r="A1058"/>
      <c r="B1058" t="s">
        <v>88</v>
      </c>
      <c r="C1058" t="s">
        <v>88</v>
      </c>
      <c r="D1058" t="s">
        <v>37</v>
      </c>
      <c r="E1058" t="s">
        <v>38</v>
      </c>
      <c r="F1058" t="str">
        <f>"0001163"</f>
        <v>0001163</v>
      </c>
      <c r="G1058">
        <v>1</v>
      </c>
      <c r="H1058" t="str">
        <f>"00000000"</f>
        <v>00000000</v>
      </c>
      <c r="I1058" t="s">
        <v>39</v>
      </c>
      <c r="J1058"/>
      <c r="K1058">
        <v>423.73</v>
      </c>
      <c r="L1058">
        <v>0.0</v>
      </c>
      <c r="M1058"/>
      <c r="N1058"/>
      <c r="O1058">
        <v>76.27</v>
      </c>
      <c r="P1058">
        <v>0.0</v>
      </c>
      <c r="Q1058">
        <v>500.0</v>
      </c>
      <c r="R1058"/>
      <c r="S1058"/>
      <c r="T1058"/>
      <c r="U1058"/>
      <c r="V1058"/>
      <c r="W1058">
        <v>18</v>
      </c>
    </row>
    <row r="1059" spans="1:23">
      <c r="A1059"/>
      <c r="B1059" t="s">
        <v>88</v>
      </c>
      <c r="C1059" t="s">
        <v>88</v>
      </c>
      <c r="D1059" t="s">
        <v>37</v>
      </c>
      <c r="E1059" t="s">
        <v>38</v>
      </c>
      <c r="F1059" t="str">
        <f>"0001164"</f>
        <v>0001164</v>
      </c>
      <c r="G1059">
        <v>1</v>
      </c>
      <c r="H1059" t="str">
        <f>"00000000"</f>
        <v>00000000</v>
      </c>
      <c r="I1059" t="s">
        <v>39</v>
      </c>
      <c r="J1059"/>
      <c r="K1059">
        <v>355.93</v>
      </c>
      <c r="L1059">
        <v>0.0</v>
      </c>
      <c r="M1059"/>
      <c r="N1059"/>
      <c r="O1059">
        <v>64.07</v>
      </c>
      <c r="P1059">
        <v>0.0</v>
      </c>
      <c r="Q1059">
        <v>420.0</v>
      </c>
      <c r="R1059"/>
      <c r="S1059"/>
      <c r="T1059"/>
      <c r="U1059"/>
      <c r="V1059"/>
      <c r="W1059">
        <v>18</v>
      </c>
    </row>
    <row r="1060" spans="1:23">
      <c r="A1060"/>
      <c r="B1060" t="s">
        <v>88</v>
      </c>
      <c r="C1060" t="s">
        <v>88</v>
      </c>
      <c r="D1060" t="s">
        <v>37</v>
      </c>
      <c r="E1060" t="s">
        <v>38</v>
      </c>
      <c r="F1060" t="str">
        <f>"0001165"</f>
        <v>0001165</v>
      </c>
      <c r="G1060">
        <v>1</v>
      </c>
      <c r="H1060" t="str">
        <f>"00000000"</f>
        <v>00000000</v>
      </c>
      <c r="I1060" t="s">
        <v>39</v>
      </c>
      <c r="J1060"/>
      <c r="K1060">
        <v>338.98</v>
      </c>
      <c r="L1060">
        <v>0.0</v>
      </c>
      <c r="M1060"/>
      <c r="N1060"/>
      <c r="O1060">
        <v>61.02</v>
      </c>
      <c r="P1060">
        <v>0.0</v>
      </c>
      <c r="Q1060">
        <v>400.0</v>
      </c>
      <c r="R1060"/>
      <c r="S1060"/>
      <c r="T1060"/>
      <c r="U1060"/>
      <c r="V1060"/>
      <c r="W1060">
        <v>18</v>
      </c>
    </row>
    <row r="1061" spans="1:23">
      <c r="A1061"/>
      <c r="B1061" t="s">
        <v>88</v>
      </c>
      <c r="C1061" t="s">
        <v>88</v>
      </c>
      <c r="D1061" t="s">
        <v>37</v>
      </c>
      <c r="E1061" t="s">
        <v>38</v>
      </c>
      <c r="F1061" t="str">
        <f>"0001166"</f>
        <v>0001166</v>
      </c>
      <c r="G1061">
        <v>1</v>
      </c>
      <c r="H1061" t="str">
        <f>"00000000"</f>
        <v>00000000</v>
      </c>
      <c r="I1061" t="s">
        <v>39</v>
      </c>
      <c r="J1061"/>
      <c r="K1061">
        <v>381.36</v>
      </c>
      <c r="L1061">
        <v>0.0</v>
      </c>
      <c r="M1061"/>
      <c r="N1061"/>
      <c r="O1061">
        <v>68.64</v>
      </c>
      <c r="P1061">
        <v>0.0</v>
      </c>
      <c r="Q1061">
        <v>450.0</v>
      </c>
      <c r="R1061"/>
      <c r="S1061"/>
      <c r="T1061"/>
      <c r="U1061"/>
      <c r="V1061"/>
      <c r="W1061">
        <v>18</v>
      </c>
    </row>
    <row r="1062" spans="1:23">
      <c r="A1062"/>
      <c r="B1062" t="s">
        <v>88</v>
      </c>
      <c r="C1062" t="s">
        <v>88</v>
      </c>
      <c r="D1062" t="s">
        <v>37</v>
      </c>
      <c r="E1062" t="s">
        <v>38</v>
      </c>
      <c r="F1062" t="str">
        <f>"0001167"</f>
        <v>0001167</v>
      </c>
      <c r="G1062">
        <v>1</v>
      </c>
      <c r="H1062" t="str">
        <f>"00000000"</f>
        <v>00000000</v>
      </c>
      <c r="I1062" t="s">
        <v>39</v>
      </c>
      <c r="J1062"/>
      <c r="K1062">
        <v>355.93</v>
      </c>
      <c r="L1062">
        <v>0.0</v>
      </c>
      <c r="M1062"/>
      <c r="N1062"/>
      <c r="O1062">
        <v>64.07</v>
      </c>
      <c r="P1062">
        <v>0.0</v>
      </c>
      <c r="Q1062">
        <v>420.0</v>
      </c>
      <c r="R1062"/>
      <c r="S1062"/>
      <c r="T1062"/>
      <c r="U1062"/>
      <c r="V1062"/>
      <c r="W1062">
        <v>18</v>
      </c>
    </row>
    <row r="1063" spans="1:23">
      <c r="A1063"/>
      <c r="B1063" t="s">
        <v>88</v>
      </c>
      <c r="C1063" t="s">
        <v>88</v>
      </c>
      <c r="D1063" t="s">
        <v>37</v>
      </c>
      <c r="E1063" t="s">
        <v>38</v>
      </c>
      <c r="F1063" t="str">
        <f>"0001168"</f>
        <v>0001168</v>
      </c>
      <c r="G1063">
        <v>1</v>
      </c>
      <c r="H1063" t="str">
        <f>"00000000"</f>
        <v>00000000</v>
      </c>
      <c r="I1063" t="s">
        <v>39</v>
      </c>
      <c r="J1063"/>
      <c r="K1063">
        <v>423.73</v>
      </c>
      <c r="L1063">
        <v>0.0</v>
      </c>
      <c r="M1063"/>
      <c r="N1063"/>
      <c r="O1063">
        <v>76.27</v>
      </c>
      <c r="P1063">
        <v>0.0</v>
      </c>
      <c r="Q1063">
        <v>500.0</v>
      </c>
      <c r="R1063"/>
      <c r="S1063"/>
      <c r="T1063"/>
      <c r="U1063"/>
      <c r="V1063"/>
      <c r="W1063">
        <v>18</v>
      </c>
    </row>
    <row r="1064" spans="1:23">
      <c r="A1064"/>
      <c r="B1064" t="s">
        <v>88</v>
      </c>
      <c r="C1064" t="s">
        <v>88</v>
      </c>
      <c r="D1064" t="s">
        <v>37</v>
      </c>
      <c r="E1064" t="s">
        <v>38</v>
      </c>
      <c r="F1064" t="str">
        <f>"0001169"</f>
        <v>0001169</v>
      </c>
      <c r="G1064">
        <v>1</v>
      </c>
      <c r="H1064" t="str">
        <f>"00000000"</f>
        <v>00000000</v>
      </c>
      <c r="I1064" t="s">
        <v>39</v>
      </c>
      <c r="J1064"/>
      <c r="K1064">
        <v>254.24</v>
      </c>
      <c r="L1064">
        <v>0.0</v>
      </c>
      <c r="M1064"/>
      <c r="N1064"/>
      <c r="O1064">
        <v>45.76</v>
      </c>
      <c r="P1064">
        <v>0.0</v>
      </c>
      <c r="Q1064">
        <v>300.0</v>
      </c>
      <c r="R1064"/>
      <c r="S1064"/>
      <c r="T1064"/>
      <c r="U1064"/>
      <c r="V1064"/>
      <c r="W1064">
        <v>18</v>
      </c>
    </row>
    <row r="1065" spans="1:23">
      <c r="A1065"/>
      <c r="B1065" t="s">
        <v>88</v>
      </c>
      <c r="C1065" t="s">
        <v>88</v>
      </c>
      <c r="D1065" t="s">
        <v>37</v>
      </c>
      <c r="E1065" t="s">
        <v>38</v>
      </c>
      <c r="F1065" t="str">
        <f>"0001170"</f>
        <v>0001170</v>
      </c>
      <c r="G1065">
        <v>1</v>
      </c>
      <c r="H1065" t="str">
        <f>"00000000"</f>
        <v>00000000</v>
      </c>
      <c r="I1065" t="s">
        <v>39</v>
      </c>
      <c r="J1065"/>
      <c r="K1065">
        <v>338.98</v>
      </c>
      <c r="L1065">
        <v>0.0</v>
      </c>
      <c r="M1065"/>
      <c r="N1065"/>
      <c r="O1065">
        <v>61.02</v>
      </c>
      <c r="P1065">
        <v>0.0</v>
      </c>
      <c r="Q1065">
        <v>400.0</v>
      </c>
      <c r="R1065"/>
      <c r="S1065"/>
      <c r="T1065"/>
      <c r="U1065"/>
      <c r="V1065"/>
      <c r="W1065">
        <v>18</v>
      </c>
    </row>
    <row r="1066" spans="1:23">
      <c r="A1066"/>
      <c r="B1066" t="s">
        <v>88</v>
      </c>
      <c r="C1066" t="s">
        <v>88</v>
      </c>
      <c r="D1066" t="s">
        <v>37</v>
      </c>
      <c r="E1066" t="s">
        <v>38</v>
      </c>
      <c r="F1066" t="str">
        <f>"0001171"</f>
        <v>0001171</v>
      </c>
      <c r="G1066">
        <v>1</v>
      </c>
      <c r="H1066" t="str">
        <f>"00000000"</f>
        <v>00000000</v>
      </c>
      <c r="I1066" t="s">
        <v>39</v>
      </c>
      <c r="J1066"/>
      <c r="K1066">
        <v>288.14</v>
      </c>
      <c r="L1066">
        <v>0.0</v>
      </c>
      <c r="M1066"/>
      <c r="N1066"/>
      <c r="O1066">
        <v>51.86</v>
      </c>
      <c r="P1066">
        <v>0.0</v>
      </c>
      <c r="Q1066">
        <v>340.0</v>
      </c>
      <c r="R1066"/>
      <c r="S1066"/>
      <c r="T1066"/>
      <c r="U1066"/>
      <c r="V1066"/>
      <c r="W1066">
        <v>18</v>
      </c>
    </row>
    <row r="1067" spans="1:23">
      <c r="A1067"/>
      <c r="B1067" t="s">
        <v>88</v>
      </c>
      <c r="C1067" t="s">
        <v>88</v>
      </c>
      <c r="D1067" t="s">
        <v>37</v>
      </c>
      <c r="E1067" t="s">
        <v>38</v>
      </c>
      <c r="F1067" t="str">
        <f>"0001172"</f>
        <v>0001172</v>
      </c>
      <c r="G1067">
        <v>1</v>
      </c>
      <c r="H1067" t="str">
        <f>"00000000"</f>
        <v>00000000</v>
      </c>
      <c r="I1067" t="s">
        <v>39</v>
      </c>
      <c r="J1067"/>
      <c r="K1067">
        <v>406.78</v>
      </c>
      <c r="L1067">
        <v>0.0</v>
      </c>
      <c r="M1067"/>
      <c r="N1067"/>
      <c r="O1067">
        <v>73.22</v>
      </c>
      <c r="P1067">
        <v>0.0</v>
      </c>
      <c r="Q1067">
        <v>480.0</v>
      </c>
      <c r="R1067"/>
      <c r="S1067"/>
      <c r="T1067"/>
      <c r="U1067"/>
      <c r="V1067"/>
      <c r="W1067">
        <v>18</v>
      </c>
    </row>
    <row r="1068" spans="1:23">
      <c r="A1068"/>
      <c r="B1068" t="s">
        <v>88</v>
      </c>
      <c r="C1068" t="s">
        <v>88</v>
      </c>
      <c r="D1068" t="s">
        <v>37</v>
      </c>
      <c r="E1068" t="s">
        <v>38</v>
      </c>
      <c r="F1068" t="str">
        <f>"0001173"</f>
        <v>0001173</v>
      </c>
      <c r="G1068">
        <v>1</v>
      </c>
      <c r="H1068" t="str">
        <f>"00000000"</f>
        <v>00000000</v>
      </c>
      <c r="I1068" t="s">
        <v>39</v>
      </c>
      <c r="J1068"/>
      <c r="K1068">
        <v>254.24</v>
      </c>
      <c r="L1068">
        <v>0.0</v>
      </c>
      <c r="M1068"/>
      <c r="N1068"/>
      <c r="O1068">
        <v>45.76</v>
      </c>
      <c r="P1068">
        <v>0.0</v>
      </c>
      <c r="Q1068">
        <v>300.0</v>
      </c>
      <c r="R1068"/>
      <c r="S1068"/>
      <c r="T1068"/>
      <c r="U1068"/>
      <c r="V1068"/>
      <c r="W1068">
        <v>18</v>
      </c>
    </row>
    <row r="1069" spans="1:23">
      <c r="A1069"/>
      <c r="B1069" t="s">
        <v>88</v>
      </c>
      <c r="C1069" t="s">
        <v>88</v>
      </c>
      <c r="D1069" t="s">
        <v>37</v>
      </c>
      <c r="E1069" t="s">
        <v>38</v>
      </c>
      <c r="F1069" t="str">
        <f>"0001174"</f>
        <v>0001174</v>
      </c>
      <c r="G1069">
        <v>1</v>
      </c>
      <c r="H1069" t="str">
        <f>"00000000"</f>
        <v>00000000</v>
      </c>
      <c r="I1069" t="s">
        <v>39</v>
      </c>
      <c r="J1069"/>
      <c r="K1069">
        <v>296.61</v>
      </c>
      <c r="L1069">
        <v>0.0</v>
      </c>
      <c r="M1069"/>
      <c r="N1069"/>
      <c r="O1069">
        <v>53.39</v>
      </c>
      <c r="P1069">
        <v>0.0</v>
      </c>
      <c r="Q1069">
        <v>350.0</v>
      </c>
      <c r="R1069"/>
      <c r="S1069"/>
      <c r="T1069"/>
      <c r="U1069"/>
      <c r="V1069"/>
      <c r="W1069">
        <v>18</v>
      </c>
    </row>
    <row r="1070" spans="1:23">
      <c r="A1070"/>
      <c r="B1070" t="s">
        <v>88</v>
      </c>
      <c r="C1070" t="s">
        <v>88</v>
      </c>
      <c r="D1070" t="s">
        <v>37</v>
      </c>
      <c r="E1070" t="s">
        <v>38</v>
      </c>
      <c r="F1070" t="str">
        <f>"0001175"</f>
        <v>0001175</v>
      </c>
      <c r="G1070">
        <v>1</v>
      </c>
      <c r="H1070" t="str">
        <f>"00000000"</f>
        <v>00000000</v>
      </c>
      <c r="I1070" t="s">
        <v>39</v>
      </c>
      <c r="J1070"/>
      <c r="K1070">
        <v>296.61</v>
      </c>
      <c r="L1070">
        <v>0.0</v>
      </c>
      <c r="M1070"/>
      <c r="N1070"/>
      <c r="O1070">
        <v>53.39</v>
      </c>
      <c r="P1070">
        <v>0.0</v>
      </c>
      <c r="Q1070">
        <v>350.0</v>
      </c>
      <c r="R1070"/>
      <c r="S1070"/>
      <c r="T1070"/>
      <c r="U1070"/>
      <c r="V1070"/>
      <c r="W1070">
        <v>18</v>
      </c>
    </row>
    <row r="1071" spans="1:23">
      <c r="A1071"/>
      <c r="B1071" t="s">
        <v>89</v>
      </c>
      <c r="C1071" t="s">
        <v>89</v>
      </c>
      <c r="D1071" t="s">
        <v>37</v>
      </c>
      <c r="E1071" t="s">
        <v>38</v>
      </c>
      <c r="F1071" t="str">
        <f>"0001176"</f>
        <v>0001176</v>
      </c>
      <c r="G1071">
        <v>1</v>
      </c>
      <c r="H1071" t="str">
        <f>"00000000"</f>
        <v>00000000</v>
      </c>
      <c r="I1071" t="s">
        <v>39</v>
      </c>
      <c r="J1071"/>
      <c r="K1071">
        <v>381.36</v>
      </c>
      <c r="L1071">
        <v>0.0</v>
      </c>
      <c r="M1071"/>
      <c r="N1071"/>
      <c r="O1071">
        <v>68.64</v>
      </c>
      <c r="P1071">
        <v>0.0</v>
      </c>
      <c r="Q1071">
        <v>450.0</v>
      </c>
      <c r="R1071"/>
      <c r="S1071"/>
      <c r="T1071"/>
      <c r="U1071"/>
      <c r="V1071"/>
      <c r="W1071">
        <v>18</v>
      </c>
    </row>
    <row r="1072" spans="1:23">
      <c r="A1072"/>
      <c r="B1072" t="s">
        <v>89</v>
      </c>
      <c r="C1072" t="s">
        <v>89</v>
      </c>
      <c r="D1072" t="s">
        <v>37</v>
      </c>
      <c r="E1072" t="s">
        <v>38</v>
      </c>
      <c r="F1072" t="str">
        <f>"0001177"</f>
        <v>0001177</v>
      </c>
      <c r="G1072">
        <v>1</v>
      </c>
      <c r="H1072" t="str">
        <f>"00000000"</f>
        <v>00000000</v>
      </c>
      <c r="I1072" t="s">
        <v>39</v>
      </c>
      <c r="J1072"/>
      <c r="K1072">
        <v>254.24</v>
      </c>
      <c r="L1072">
        <v>0.0</v>
      </c>
      <c r="M1072"/>
      <c r="N1072"/>
      <c r="O1072">
        <v>45.76</v>
      </c>
      <c r="P1072">
        <v>0.0</v>
      </c>
      <c r="Q1072">
        <v>300.0</v>
      </c>
      <c r="R1072"/>
      <c r="S1072"/>
      <c r="T1072"/>
      <c r="U1072"/>
      <c r="V1072"/>
      <c r="W1072">
        <v>18</v>
      </c>
    </row>
    <row r="1073" spans="1:23">
      <c r="A1073"/>
      <c r="B1073" t="s">
        <v>89</v>
      </c>
      <c r="C1073" t="s">
        <v>89</v>
      </c>
      <c r="D1073" t="s">
        <v>37</v>
      </c>
      <c r="E1073" t="s">
        <v>38</v>
      </c>
      <c r="F1073" t="str">
        <f>"0001178"</f>
        <v>0001178</v>
      </c>
      <c r="G1073">
        <v>1</v>
      </c>
      <c r="H1073" t="str">
        <f>"00000000"</f>
        <v>00000000</v>
      </c>
      <c r="I1073" t="s">
        <v>39</v>
      </c>
      <c r="J1073"/>
      <c r="K1073">
        <v>364.41</v>
      </c>
      <c r="L1073">
        <v>0.0</v>
      </c>
      <c r="M1073"/>
      <c r="N1073"/>
      <c r="O1073">
        <v>65.59</v>
      </c>
      <c r="P1073">
        <v>0.0</v>
      </c>
      <c r="Q1073">
        <v>430.0</v>
      </c>
      <c r="R1073"/>
      <c r="S1073"/>
      <c r="T1073"/>
      <c r="U1073"/>
      <c r="V1073"/>
      <c r="W1073">
        <v>18</v>
      </c>
    </row>
    <row r="1074" spans="1:23">
      <c r="A1074"/>
      <c r="B1074" t="s">
        <v>89</v>
      </c>
      <c r="C1074" t="s">
        <v>89</v>
      </c>
      <c r="D1074" t="s">
        <v>37</v>
      </c>
      <c r="E1074" t="s">
        <v>38</v>
      </c>
      <c r="F1074" t="str">
        <f>"0001179"</f>
        <v>0001179</v>
      </c>
      <c r="G1074">
        <v>1</v>
      </c>
      <c r="H1074" t="str">
        <f>"00000000"</f>
        <v>00000000</v>
      </c>
      <c r="I1074" t="s">
        <v>39</v>
      </c>
      <c r="J1074"/>
      <c r="K1074">
        <v>330.51</v>
      </c>
      <c r="L1074">
        <v>0.0</v>
      </c>
      <c r="M1074"/>
      <c r="N1074"/>
      <c r="O1074">
        <v>59.49</v>
      </c>
      <c r="P1074">
        <v>0.0</v>
      </c>
      <c r="Q1074">
        <v>390.0</v>
      </c>
      <c r="R1074"/>
      <c r="S1074"/>
      <c r="T1074"/>
      <c r="U1074"/>
      <c r="V1074"/>
      <c r="W1074">
        <v>18</v>
      </c>
    </row>
    <row r="1075" spans="1:23">
      <c r="A1075"/>
      <c r="B1075" t="s">
        <v>89</v>
      </c>
      <c r="C1075" t="s">
        <v>89</v>
      </c>
      <c r="D1075" t="s">
        <v>37</v>
      </c>
      <c r="E1075" t="s">
        <v>38</v>
      </c>
      <c r="F1075" t="str">
        <f>"0001180"</f>
        <v>0001180</v>
      </c>
      <c r="G1075">
        <v>1</v>
      </c>
      <c r="H1075" t="str">
        <f>"00000000"</f>
        <v>00000000</v>
      </c>
      <c r="I1075" t="s">
        <v>39</v>
      </c>
      <c r="J1075"/>
      <c r="K1075">
        <v>423.73</v>
      </c>
      <c r="L1075">
        <v>0.0</v>
      </c>
      <c r="M1075"/>
      <c r="N1075"/>
      <c r="O1075">
        <v>76.27</v>
      </c>
      <c r="P1075">
        <v>0.0</v>
      </c>
      <c r="Q1075">
        <v>500.0</v>
      </c>
      <c r="R1075"/>
      <c r="S1075"/>
      <c r="T1075"/>
      <c r="U1075"/>
      <c r="V1075"/>
      <c r="W1075">
        <v>18</v>
      </c>
    </row>
    <row r="1076" spans="1:23">
      <c r="A1076"/>
      <c r="B1076" t="s">
        <v>89</v>
      </c>
      <c r="C1076" t="s">
        <v>89</v>
      </c>
      <c r="D1076" t="s">
        <v>37</v>
      </c>
      <c r="E1076" t="s">
        <v>38</v>
      </c>
      <c r="F1076" t="str">
        <f>"0001181"</f>
        <v>0001181</v>
      </c>
      <c r="G1076">
        <v>1</v>
      </c>
      <c r="H1076" t="str">
        <f>"00000000"</f>
        <v>00000000</v>
      </c>
      <c r="I1076" t="s">
        <v>39</v>
      </c>
      <c r="J1076"/>
      <c r="K1076">
        <v>343.22</v>
      </c>
      <c r="L1076">
        <v>0.0</v>
      </c>
      <c r="M1076"/>
      <c r="N1076"/>
      <c r="O1076">
        <v>61.78</v>
      </c>
      <c r="P1076">
        <v>0.0</v>
      </c>
      <c r="Q1076">
        <v>405.0</v>
      </c>
      <c r="R1076"/>
      <c r="S1076"/>
      <c r="T1076"/>
      <c r="U1076"/>
      <c r="V1076"/>
      <c r="W1076">
        <v>18</v>
      </c>
    </row>
    <row r="1077" spans="1:23">
      <c r="A1077"/>
      <c r="B1077" t="s">
        <v>89</v>
      </c>
      <c r="C1077" t="s">
        <v>89</v>
      </c>
      <c r="D1077" t="s">
        <v>37</v>
      </c>
      <c r="E1077" t="s">
        <v>38</v>
      </c>
      <c r="F1077" t="str">
        <f>"0001182"</f>
        <v>0001182</v>
      </c>
      <c r="G1077">
        <v>1</v>
      </c>
      <c r="H1077" t="str">
        <f>"00000000"</f>
        <v>00000000</v>
      </c>
      <c r="I1077" t="s">
        <v>39</v>
      </c>
      <c r="J1077"/>
      <c r="K1077">
        <v>330.51</v>
      </c>
      <c r="L1077">
        <v>0.0</v>
      </c>
      <c r="M1077"/>
      <c r="N1077"/>
      <c r="O1077">
        <v>59.49</v>
      </c>
      <c r="P1077">
        <v>0.0</v>
      </c>
      <c r="Q1077">
        <v>390.0</v>
      </c>
      <c r="R1077"/>
      <c r="S1077"/>
      <c r="T1077"/>
      <c r="U1077"/>
      <c r="V1077"/>
      <c r="W1077">
        <v>18</v>
      </c>
    </row>
    <row r="1078" spans="1:23">
      <c r="A1078"/>
      <c r="B1078" t="s">
        <v>89</v>
      </c>
      <c r="C1078" t="s">
        <v>89</v>
      </c>
      <c r="D1078" t="s">
        <v>37</v>
      </c>
      <c r="E1078" t="s">
        <v>38</v>
      </c>
      <c r="F1078" t="str">
        <f>"0001183"</f>
        <v>0001183</v>
      </c>
      <c r="G1078">
        <v>1</v>
      </c>
      <c r="H1078" t="str">
        <f>"00000000"</f>
        <v>00000000</v>
      </c>
      <c r="I1078" t="s">
        <v>39</v>
      </c>
      <c r="J1078"/>
      <c r="K1078">
        <v>296.61</v>
      </c>
      <c r="L1078">
        <v>0.0</v>
      </c>
      <c r="M1078"/>
      <c r="N1078"/>
      <c r="O1078">
        <v>53.39</v>
      </c>
      <c r="P1078">
        <v>0.0</v>
      </c>
      <c r="Q1078">
        <v>350.0</v>
      </c>
      <c r="R1078"/>
      <c r="S1078"/>
      <c r="T1078"/>
      <c r="U1078"/>
      <c r="V1078"/>
      <c r="W1078">
        <v>18</v>
      </c>
    </row>
    <row r="1079" spans="1:23">
      <c r="A1079"/>
      <c r="B1079" t="s">
        <v>89</v>
      </c>
      <c r="C1079" t="s">
        <v>89</v>
      </c>
      <c r="D1079" t="s">
        <v>37</v>
      </c>
      <c r="E1079" t="s">
        <v>38</v>
      </c>
      <c r="F1079" t="str">
        <f>"0001184"</f>
        <v>0001184</v>
      </c>
      <c r="G1079">
        <v>1</v>
      </c>
      <c r="H1079" t="str">
        <f>"00000000"</f>
        <v>00000000</v>
      </c>
      <c r="I1079" t="s">
        <v>39</v>
      </c>
      <c r="J1079"/>
      <c r="K1079">
        <v>381.36</v>
      </c>
      <c r="L1079">
        <v>0.0</v>
      </c>
      <c r="M1079"/>
      <c r="N1079"/>
      <c r="O1079">
        <v>68.64</v>
      </c>
      <c r="P1079">
        <v>0.0</v>
      </c>
      <c r="Q1079">
        <v>450.0</v>
      </c>
      <c r="R1079"/>
      <c r="S1079"/>
      <c r="T1079"/>
      <c r="U1079"/>
      <c r="V1079"/>
      <c r="W1079">
        <v>18</v>
      </c>
    </row>
    <row r="1080" spans="1:23">
      <c r="A1080"/>
      <c r="B1080" t="s">
        <v>89</v>
      </c>
      <c r="C1080" t="s">
        <v>89</v>
      </c>
      <c r="D1080" t="s">
        <v>37</v>
      </c>
      <c r="E1080" t="s">
        <v>38</v>
      </c>
      <c r="F1080" t="str">
        <f>"0001185"</f>
        <v>0001185</v>
      </c>
      <c r="G1080">
        <v>1</v>
      </c>
      <c r="H1080" t="str">
        <f>"00000000"</f>
        <v>00000000</v>
      </c>
      <c r="I1080" t="s">
        <v>39</v>
      </c>
      <c r="J1080"/>
      <c r="K1080">
        <v>254.24</v>
      </c>
      <c r="L1080">
        <v>0.0</v>
      </c>
      <c r="M1080"/>
      <c r="N1080"/>
      <c r="O1080">
        <v>45.76</v>
      </c>
      <c r="P1080">
        <v>0.0</v>
      </c>
      <c r="Q1080">
        <v>300.0</v>
      </c>
      <c r="R1080"/>
      <c r="S1080"/>
      <c r="T1080"/>
      <c r="U1080"/>
      <c r="V1080"/>
      <c r="W1080">
        <v>18</v>
      </c>
    </row>
    <row r="1081" spans="1:23">
      <c r="A1081"/>
      <c r="B1081" t="s">
        <v>89</v>
      </c>
      <c r="C1081" t="s">
        <v>89</v>
      </c>
      <c r="D1081" t="s">
        <v>37</v>
      </c>
      <c r="E1081" t="s">
        <v>38</v>
      </c>
      <c r="F1081" t="str">
        <f>"0001186"</f>
        <v>0001186</v>
      </c>
      <c r="G1081">
        <v>1</v>
      </c>
      <c r="H1081" t="str">
        <f>"00000000"</f>
        <v>00000000</v>
      </c>
      <c r="I1081" t="s">
        <v>39</v>
      </c>
      <c r="J1081"/>
      <c r="K1081">
        <v>338.98</v>
      </c>
      <c r="L1081">
        <v>0.0</v>
      </c>
      <c r="M1081"/>
      <c r="N1081"/>
      <c r="O1081">
        <v>61.02</v>
      </c>
      <c r="P1081">
        <v>0.0</v>
      </c>
      <c r="Q1081">
        <v>400.0</v>
      </c>
      <c r="R1081"/>
      <c r="S1081"/>
      <c r="T1081"/>
      <c r="U1081"/>
      <c r="V1081"/>
      <c r="W1081">
        <v>18</v>
      </c>
    </row>
    <row r="1082" spans="1:23">
      <c r="A1082"/>
      <c r="B1082" t="s">
        <v>89</v>
      </c>
      <c r="C1082" t="s">
        <v>89</v>
      </c>
      <c r="D1082" t="s">
        <v>37</v>
      </c>
      <c r="E1082" t="s">
        <v>38</v>
      </c>
      <c r="F1082" t="str">
        <f>"0001187"</f>
        <v>0001187</v>
      </c>
      <c r="G1082">
        <v>1</v>
      </c>
      <c r="H1082" t="str">
        <f>"00000000"</f>
        <v>00000000</v>
      </c>
      <c r="I1082" t="s">
        <v>39</v>
      </c>
      <c r="J1082"/>
      <c r="K1082">
        <v>343.22</v>
      </c>
      <c r="L1082">
        <v>0.0</v>
      </c>
      <c r="M1082"/>
      <c r="N1082"/>
      <c r="O1082">
        <v>61.78</v>
      </c>
      <c r="P1082">
        <v>0.0</v>
      </c>
      <c r="Q1082">
        <v>405.0</v>
      </c>
      <c r="R1082"/>
      <c r="S1082"/>
      <c r="T1082"/>
      <c r="U1082"/>
      <c r="V1082"/>
      <c r="W1082">
        <v>18</v>
      </c>
    </row>
    <row r="1083" spans="1:23">
      <c r="A1083"/>
      <c r="B1083" t="s">
        <v>89</v>
      </c>
      <c r="C1083" t="s">
        <v>89</v>
      </c>
      <c r="D1083" t="s">
        <v>37</v>
      </c>
      <c r="E1083" t="s">
        <v>38</v>
      </c>
      <c r="F1083" t="str">
        <f>"0001188"</f>
        <v>0001188</v>
      </c>
      <c r="G1083">
        <v>1</v>
      </c>
      <c r="H1083" t="str">
        <f>"00000000"</f>
        <v>00000000</v>
      </c>
      <c r="I1083" t="s">
        <v>39</v>
      </c>
      <c r="J1083"/>
      <c r="K1083">
        <v>322.03</v>
      </c>
      <c r="L1083">
        <v>0.0</v>
      </c>
      <c r="M1083"/>
      <c r="N1083"/>
      <c r="O1083">
        <v>57.97</v>
      </c>
      <c r="P1083">
        <v>0.0</v>
      </c>
      <c r="Q1083">
        <v>380.0</v>
      </c>
      <c r="R1083"/>
      <c r="S1083"/>
      <c r="T1083"/>
      <c r="U1083"/>
      <c r="V1083"/>
      <c r="W1083">
        <v>18</v>
      </c>
    </row>
    <row r="1084" spans="1:23">
      <c r="A1084"/>
      <c r="B1084" t="s">
        <v>89</v>
      </c>
      <c r="C1084" t="s">
        <v>89</v>
      </c>
      <c r="D1084" t="s">
        <v>37</v>
      </c>
      <c r="E1084" t="s">
        <v>38</v>
      </c>
      <c r="F1084" t="str">
        <f>"0001189"</f>
        <v>0001189</v>
      </c>
      <c r="G1084">
        <v>1</v>
      </c>
      <c r="H1084" t="str">
        <f>"00000000"</f>
        <v>00000000</v>
      </c>
      <c r="I1084" t="s">
        <v>39</v>
      </c>
      <c r="J1084"/>
      <c r="K1084">
        <v>389.83</v>
      </c>
      <c r="L1084">
        <v>0.0</v>
      </c>
      <c r="M1084"/>
      <c r="N1084"/>
      <c r="O1084">
        <v>70.17</v>
      </c>
      <c r="P1084">
        <v>0.0</v>
      </c>
      <c r="Q1084">
        <v>460.0</v>
      </c>
      <c r="R1084"/>
      <c r="S1084"/>
      <c r="T1084"/>
      <c r="U1084"/>
      <c r="V1084"/>
      <c r="W1084">
        <v>18</v>
      </c>
    </row>
    <row r="1085" spans="1:23">
      <c r="A1085"/>
      <c r="B1085" t="s">
        <v>89</v>
      </c>
      <c r="C1085" t="s">
        <v>89</v>
      </c>
      <c r="D1085" t="s">
        <v>37</v>
      </c>
      <c r="E1085" t="s">
        <v>38</v>
      </c>
      <c r="F1085" t="str">
        <f>"0001190"</f>
        <v>0001190</v>
      </c>
      <c r="G1085">
        <v>1</v>
      </c>
      <c r="H1085" t="str">
        <f>"00000000"</f>
        <v>00000000</v>
      </c>
      <c r="I1085" t="s">
        <v>39</v>
      </c>
      <c r="J1085"/>
      <c r="K1085">
        <v>296.61</v>
      </c>
      <c r="L1085">
        <v>0.0</v>
      </c>
      <c r="M1085"/>
      <c r="N1085"/>
      <c r="O1085">
        <v>53.39</v>
      </c>
      <c r="P1085">
        <v>0.0</v>
      </c>
      <c r="Q1085">
        <v>350.0</v>
      </c>
      <c r="R1085"/>
      <c r="S1085"/>
      <c r="T1085"/>
      <c r="U1085"/>
      <c r="V1085"/>
      <c r="W1085">
        <v>18</v>
      </c>
    </row>
    <row r="1086" spans="1:23">
      <c r="A1086"/>
      <c r="B1086" t="s">
        <v>89</v>
      </c>
      <c r="C1086" t="s">
        <v>89</v>
      </c>
      <c r="D1086" t="s">
        <v>37</v>
      </c>
      <c r="E1086" t="s">
        <v>38</v>
      </c>
      <c r="F1086" t="str">
        <f>"0001191"</f>
        <v>0001191</v>
      </c>
      <c r="G1086">
        <v>1</v>
      </c>
      <c r="H1086" t="str">
        <f>"00000000"</f>
        <v>00000000</v>
      </c>
      <c r="I1086" t="s">
        <v>39</v>
      </c>
      <c r="J1086"/>
      <c r="K1086">
        <v>237.29</v>
      </c>
      <c r="L1086">
        <v>0.0</v>
      </c>
      <c r="M1086"/>
      <c r="N1086"/>
      <c r="O1086">
        <v>42.71</v>
      </c>
      <c r="P1086">
        <v>0.0</v>
      </c>
      <c r="Q1086">
        <v>280.0</v>
      </c>
      <c r="R1086"/>
      <c r="S1086"/>
      <c r="T1086"/>
      <c r="U1086"/>
      <c r="V1086"/>
      <c r="W1086">
        <v>18</v>
      </c>
    </row>
    <row r="1087" spans="1:23">
      <c r="A1087"/>
      <c r="B1087" t="s">
        <v>89</v>
      </c>
      <c r="C1087" t="s">
        <v>89</v>
      </c>
      <c r="D1087" t="s">
        <v>37</v>
      </c>
      <c r="E1087" t="s">
        <v>38</v>
      </c>
      <c r="F1087" t="str">
        <f>"0001192"</f>
        <v>0001192</v>
      </c>
      <c r="G1087">
        <v>1</v>
      </c>
      <c r="H1087" t="str">
        <f>"00000000"</f>
        <v>00000000</v>
      </c>
      <c r="I1087" t="s">
        <v>39</v>
      </c>
      <c r="J1087"/>
      <c r="K1087">
        <v>296.61</v>
      </c>
      <c r="L1087">
        <v>0.0</v>
      </c>
      <c r="M1087"/>
      <c r="N1087"/>
      <c r="O1087">
        <v>53.39</v>
      </c>
      <c r="P1087">
        <v>0.0</v>
      </c>
      <c r="Q1087">
        <v>350.0</v>
      </c>
      <c r="R1087"/>
      <c r="S1087"/>
      <c r="T1087"/>
      <c r="U1087"/>
      <c r="V1087"/>
      <c r="W1087">
        <v>18</v>
      </c>
    </row>
    <row r="1088" spans="1:23">
      <c r="A1088"/>
      <c r="B1088" t="s">
        <v>89</v>
      </c>
      <c r="C1088" t="s">
        <v>89</v>
      </c>
      <c r="D1088" t="s">
        <v>37</v>
      </c>
      <c r="E1088" t="s">
        <v>38</v>
      </c>
      <c r="F1088" t="str">
        <f>"0001193"</f>
        <v>0001193</v>
      </c>
      <c r="G1088">
        <v>1</v>
      </c>
      <c r="H1088" t="str">
        <f>"00000000"</f>
        <v>00000000</v>
      </c>
      <c r="I1088" t="s">
        <v>39</v>
      </c>
      <c r="J1088"/>
      <c r="K1088">
        <v>296.61</v>
      </c>
      <c r="L1088">
        <v>0.0</v>
      </c>
      <c r="M1088"/>
      <c r="N1088"/>
      <c r="O1088">
        <v>53.39</v>
      </c>
      <c r="P1088">
        <v>0.0</v>
      </c>
      <c r="Q1088">
        <v>350.0</v>
      </c>
      <c r="R1088"/>
      <c r="S1088"/>
      <c r="T1088"/>
      <c r="U1088"/>
      <c r="V1088"/>
      <c r="W1088">
        <v>18</v>
      </c>
    </row>
    <row r="1089" spans="1:23">
      <c r="A1089"/>
      <c r="B1089" t="s">
        <v>89</v>
      </c>
      <c r="C1089" t="s">
        <v>89</v>
      </c>
      <c r="D1089" t="s">
        <v>37</v>
      </c>
      <c r="E1089" t="s">
        <v>38</v>
      </c>
      <c r="F1089" t="str">
        <f>"0001194"</f>
        <v>0001194</v>
      </c>
      <c r="G1089">
        <v>1</v>
      </c>
      <c r="H1089" t="str">
        <f>"00000000"</f>
        <v>00000000</v>
      </c>
      <c r="I1089" t="s">
        <v>39</v>
      </c>
      <c r="J1089"/>
      <c r="K1089">
        <v>338.98</v>
      </c>
      <c r="L1089">
        <v>0.0</v>
      </c>
      <c r="M1089"/>
      <c r="N1089"/>
      <c r="O1089">
        <v>61.02</v>
      </c>
      <c r="P1089">
        <v>0.0</v>
      </c>
      <c r="Q1089">
        <v>400.0</v>
      </c>
      <c r="R1089"/>
      <c r="S1089"/>
      <c r="T1089"/>
      <c r="U1089"/>
      <c r="V1089"/>
      <c r="W1089">
        <v>18</v>
      </c>
    </row>
    <row r="1090" spans="1:23">
      <c r="A1090"/>
      <c r="B1090" t="s">
        <v>89</v>
      </c>
      <c r="C1090" t="s">
        <v>89</v>
      </c>
      <c r="D1090" t="s">
        <v>37</v>
      </c>
      <c r="E1090" t="s">
        <v>38</v>
      </c>
      <c r="F1090" t="str">
        <f>"0001195"</f>
        <v>0001195</v>
      </c>
      <c r="G1090">
        <v>1</v>
      </c>
      <c r="H1090" t="str">
        <f>"00000000"</f>
        <v>00000000</v>
      </c>
      <c r="I1090" t="s">
        <v>39</v>
      </c>
      <c r="J1090"/>
      <c r="K1090">
        <v>296.61</v>
      </c>
      <c r="L1090">
        <v>0.0</v>
      </c>
      <c r="M1090"/>
      <c r="N1090"/>
      <c r="O1090">
        <v>53.39</v>
      </c>
      <c r="P1090">
        <v>0.0</v>
      </c>
      <c r="Q1090">
        <v>350.0</v>
      </c>
      <c r="R1090"/>
      <c r="S1090"/>
      <c r="T1090"/>
      <c r="U1090"/>
      <c r="V1090"/>
      <c r="W1090">
        <v>18</v>
      </c>
    </row>
    <row r="1091" spans="1:23">
      <c r="A1091"/>
      <c r="B1091" t="s">
        <v>89</v>
      </c>
      <c r="C1091" t="s">
        <v>89</v>
      </c>
      <c r="D1091" t="s">
        <v>37</v>
      </c>
      <c r="E1091" t="s">
        <v>38</v>
      </c>
      <c r="F1091" t="str">
        <f>"0001196"</f>
        <v>0001196</v>
      </c>
      <c r="G1091">
        <v>1</v>
      </c>
      <c r="H1091" t="str">
        <f>"00000000"</f>
        <v>00000000</v>
      </c>
      <c r="I1091" t="s">
        <v>39</v>
      </c>
      <c r="J1091"/>
      <c r="K1091">
        <v>381.36</v>
      </c>
      <c r="L1091">
        <v>0.0</v>
      </c>
      <c r="M1091"/>
      <c r="N1091"/>
      <c r="O1091">
        <v>68.64</v>
      </c>
      <c r="P1091">
        <v>0.0</v>
      </c>
      <c r="Q1091">
        <v>450.0</v>
      </c>
      <c r="R1091"/>
      <c r="S1091"/>
      <c r="T1091"/>
      <c r="U1091"/>
      <c r="V1091"/>
      <c r="W1091">
        <v>18</v>
      </c>
    </row>
    <row r="1092" spans="1:23">
      <c r="A1092"/>
      <c r="B1092" t="s">
        <v>89</v>
      </c>
      <c r="C1092" t="s">
        <v>89</v>
      </c>
      <c r="D1092" t="s">
        <v>37</v>
      </c>
      <c r="E1092" t="s">
        <v>38</v>
      </c>
      <c r="F1092" t="str">
        <f>"0001197"</f>
        <v>0001197</v>
      </c>
      <c r="G1092">
        <v>1</v>
      </c>
      <c r="H1092" t="str">
        <f>"00000000"</f>
        <v>00000000</v>
      </c>
      <c r="I1092" t="s">
        <v>39</v>
      </c>
      <c r="J1092"/>
      <c r="K1092">
        <v>372.88</v>
      </c>
      <c r="L1092">
        <v>0.0</v>
      </c>
      <c r="M1092"/>
      <c r="N1092"/>
      <c r="O1092">
        <v>67.12</v>
      </c>
      <c r="P1092">
        <v>0.0</v>
      </c>
      <c r="Q1092">
        <v>440.0</v>
      </c>
      <c r="R1092"/>
      <c r="S1092"/>
      <c r="T1092"/>
      <c r="U1092"/>
      <c r="V1092"/>
      <c r="W1092">
        <v>18</v>
      </c>
    </row>
    <row r="1093" spans="1:23">
      <c r="A1093"/>
      <c r="B1093" t="s">
        <v>89</v>
      </c>
      <c r="C1093" t="s">
        <v>89</v>
      </c>
      <c r="D1093" t="s">
        <v>37</v>
      </c>
      <c r="E1093" t="s">
        <v>38</v>
      </c>
      <c r="F1093" t="str">
        <f>"0001198"</f>
        <v>0001198</v>
      </c>
      <c r="G1093">
        <v>1</v>
      </c>
      <c r="H1093" t="str">
        <f>"00000000"</f>
        <v>00000000</v>
      </c>
      <c r="I1093" t="s">
        <v>39</v>
      </c>
      <c r="J1093"/>
      <c r="K1093">
        <v>296.61</v>
      </c>
      <c r="L1093">
        <v>0.0</v>
      </c>
      <c r="M1093"/>
      <c r="N1093"/>
      <c r="O1093">
        <v>53.39</v>
      </c>
      <c r="P1093">
        <v>0.0</v>
      </c>
      <c r="Q1093">
        <v>350.0</v>
      </c>
      <c r="R1093"/>
      <c r="S1093"/>
      <c r="T1093"/>
      <c r="U1093"/>
      <c r="V1093"/>
      <c r="W1093">
        <v>18</v>
      </c>
    </row>
    <row r="1094" spans="1:23">
      <c r="A1094"/>
      <c r="B1094" t="s">
        <v>89</v>
      </c>
      <c r="C1094" t="s">
        <v>89</v>
      </c>
      <c r="D1094" t="s">
        <v>37</v>
      </c>
      <c r="E1094" t="s">
        <v>38</v>
      </c>
      <c r="F1094" t="str">
        <f>"0001199"</f>
        <v>0001199</v>
      </c>
      <c r="G1094">
        <v>1</v>
      </c>
      <c r="H1094" t="str">
        <f>"00000000"</f>
        <v>00000000</v>
      </c>
      <c r="I1094" t="s">
        <v>39</v>
      </c>
      <c r="J1094"/>
      <c r="K1094">
        <v>296.61</v>
      </c>
      <c r="L1094">
        <v>0.0</v>
      </c>
      <c r="M1094"/>
      <c r="N1094"/>
      <c r="O1094">
        <v>53.39</v>
      </c>
      <c r="P1094">
        <v>0.0</v>
      </c>
      <c r="Q1094">
        <v>350.0</v>
      </c>
      <c r="R1094"/>
      <c r="S1094"/>
      <c r="T1094"/>
      <c r="U1094"/>
      <c r="V1094"/>
      <c r="W1094">
        <v>18</v>
      </c>
    </row>
    <row r="1095" spans="1:23">
      <c r="A1095"/>
      <c r="B1095" t="s">
        <v>89</v>
      </c>
      <c r="C1095" t="s">
        <v>89</v>
      </c>
      <c r="D1095" t="s">
        <v>37</v>
      </c>
      <c r="E1095" t="s">
        <v>38</v>
      </c>
      <c r="F1095" t="str">
        <f>"0001200"</f>
        <v>0001200</v>
      </c>
      <c r="G1095">
        <v>1</v>
      </c>
      <c r="H1095" t="str">
        <f>"00000000"</f>
        <v>00000000</v>
      </c>
      <c r="I1095" t="s">
        <v>39</v>
      </c>
      <c r="J1095"/>
      <c r="K1095">
        <v>271.19</v>
      </c>
      <c r="L1095">
        <v>0.0</v>
      </c>
      <c r="M1095"/>
      <c r="N1095"/>
      <c r="O1095">
        <v>48.81</v>
      </c>
      <c r="P1095">
        <v>0.0</v>
      </c>
      <c r="Q1095">
        <v>320.0</v>
      </c>
      <c r="R1095"/>
      <c r="S1095"/>
      <c r="T1095"/>
      <c r="U1095"/>
      <c r="V1095"/>
      <c r="W1095">
        <v>18</v>
      </c>
    </row>
    <row r="1096" spans="1:23">
      <c r="A1096"/>
      <c r="B1096" t="s">
        <v>89</v>
      </c>
      <c r="C1096" t="s">
        <v>89</v>
      </c>
      <c r="D1096" t="s">
        <v>37</v>
      </c>
      <c r="E1096" t="s">
        <v>38</v>
      </c>
      <c r="F1096" t="str">
        <f>"0001201"</f>
        <v>0001201</v>
      </c>
      <c r="G1096">
        <v>1</v>
      </c>
      <c r="H1096" t="str">
        <f>"00000000"</f>
        <v>00000000</v>
      </c>
      <c r="I1096" t="s">
        <v>39</v>
      </c>
      <c r="J1096"/>
      <c r="K1096">
        <v>296.61</v>
      </c>
      <c r="L1096">
        <v>0.0</v>
      </c>
      <c r="M1096"/>
      <c r="N1096"/>
      <c r="O1096">
        <v>53.39</v>
      </c>
      <c r="P1096">
        <v>0.0</v>
      </c>
      <c r="Q1096">
        <v>350.0</v>
      </c>
      <c r="R1096"/>
      <c r="S1096"/>
      <c r="T1096"/>
      <c r="U1096"/>
      <c r="V1096"/>
      <c r="W1096">
        <v>18</v>
      </c>
    </row>
    <row r="1097" spans="1:23">
      <c r="A1097"/>
      <c r="B1097" t="s">
        <v>89</v>
      </c>
      <c r="C1097" t="s">
        <v>89</v>
      </c>
      <c r="D1097" t="s">
        <v>37</v>
      </c>
      <c r="E1097" t="s">
        <v>38</v>
      </c>
      <c r="F1097" t="str">
        <f>"0001202"</f>
        <v>0001202</v>
      </c>
      <c r="G1097">
        <v>1</v>
      </c>
      <c r="H1097" t="str">
        <f>"00000000"</f>
        <v>00000000</v>
      </c>
      <c r="I1097" t="s">
        <v>39</v>
      </c>
      <c r="J1097"/>
      <c r="K1097">
        <v>406.78</v>
      </c>
      <c r="L1097">
        <v>0.0</v>
      </c>
      <c r="M1097"/>
      <c r="N1097"/>
      <c r="O1097">
        <v>73.22</v>
      </c>
      <c r="P1097">
        <v>0.0</v>
      </c>
      <c r="Q1097">
        <v>480.0</v>
      </c>
      <c r="R1097"/>
      <c r="S1097"/>
      <c r="T1097"/>
      <c r="U1097"/>
      <c r="V1097"/>
      <c r="W1097">
        <v>18</v>
      </c>
    </row>
    <row r="1098" spans="1:23">
      <c r="A1098"/>
      <c r="B1098" t="s">
        <v>89</v>
      </c>
      <c r="C1098" t="s">
        <v>89</v>
      </c>
      <c r="D1098" t="s">
        <v>37</v>
      </c>
      <c r="E1098" t="s">
        <v>38</v>
      </c>
      <c r="F1098" t="str">
        <f>"0001203"</f>
        <v>0001203</v>
      </c>
      <c r="G1098">
        <v>1</v>
      </c>
      <c r="H1098" t="str">
        <f>"00000000"</f>
        <v>00000000</v>
      </c>
      <c r="I1098" t="s">
        <v>39</v>
      </c>
      <c r="J1098"/>
      <c r="K1098">
        <v>296.61</v>
      </c>
      <c r="L1098">
        <v>0.0</v>
      </c>
      <c r="M1098"/>
      <c r="N1098"/>
      <c r="O1098">
        <v>53.39</v>
      </c>
      <c r="P1098">
        <v>0.0</v>
      </c>
      <c r="Q1098">
        <v>350.0</v>
      </c>
      <c r="R1098"/>
      <c r="S1098"/>
      <c r="T1098"/>
      <c r="U1098"/>
      <c r="V1098"/>
      <c r="W1098">
        <v>18</v>
      </c>
    </row>
    <row r="1099" spans="1:23">
      <c r="A1099"/>
      <c r="B1099" t="s">
        <v>89</v>
      </c>
      <c r="C1099" t="s">
        <v>89</v>
      </c>
      <c r="D1099" t="s">
        <v>37</v>
      </c>
      <c r="E1099" t="s">
        <v>38</v>
      </c>
      <c r="F1099" t="str">
        <f>"0001204"</f>
        <v>0001204</v>
      </c>
      <c r="G1099">
        <v>1</v>
      </c>
      <c r="H1099" t="str">
        <f>"00000000"</f>
        <v>00000000</v>
      </c>
      <c r="I1099" t="s">
        <v>39</v>
      </c>
      <c r="J1099"/>
      <c r="K1099">
        <v>330.51</v>
      </c>
      <c r="L1099">
        <v>0.0</v>
      </c>
      <c r="M1099"/>
      <c r="N1099"/>
      <c r="O1099">
        <v>59.49</v>
      </c>
      <c r="P1099">
        <v>0.0</v>
      </c>
      <c r="Q1099">
        <v>390.0</v>
      </c>
      <c r="R1099"/>
      <c r="S1099"/>
      <c r="T1099"/>
      <c r="U1099"/>
      <c r="V1099"/>
      <c r="W1099">
        <v>18</v>
      </c>
    </row>
    <row r="1100" spans="1:23">
      <c r="A1100"/>
      <c r="B1100" t="s">
        <v>89</v>
      </c>
      <c r="C1100" t="s">
        <v>89</v>
      </c>
      <c r="D1100" t="s">
        <v>37</v>
      </c>
      <c r="E1100" t="s">
        <v>38</v>
      </c>
      <c r="F1100" t="str">
        <f>"0001205"</f>
        <v>0001205</v>
      </c>
      <c r="G1100">
        <v>1</v>
      </c>
      <c r="H1100" t="str">
        <f>"00000000"</f>
        <v>00000000</v>
      </c>
      <c r="I1100" t="s">
        <v>39</v>
      </c>
      <c r="J1100"/>
      <c r="K1100">
        <v>415.25</v>
      </c>
      <c r="L1100">
        <v>0.0</v>
      </c>
      <c r="M1100"/>
      <c r="N1100"/>
      <c r="O1100">
        <v>74.75</v>
      </c>
      <c r="P1100">
        <v>0.0</v>
      </c>
      <c r="Q1100">
        <v>490.0</v>
      </c>
      <c r="R1100"/>
      <c r="S1100"/>
      <c r="T1100"/>
      <c r="U1100"/>
      <c r="V1100"/>
      <c r="W1100">
        <v>18</v>
      </c>
    </row>
    <row r="1101" spans="1:23">
      <c r="A1101"/>
      <c r="B1101" t="s">
        <v>89</v>
      </c>
      <c r="C1101" t="s">
        <v>89</v>
      </c>
      <c r="D1101" t="s">
        <v>37</v>
      </c>
      <c r="E1101" t="s">
        <v>38</v>
      </c>
      <c r="F1101" t="str">
        <f>"0001206"</f>
        <v>0001206</v>
      </c>
      <c r="G1101">
        <v>1</v>
      </c>
      <c r="H1101" t="str">
        <f>"00000000"</f>
        <v>00000000</v>
      </c>
      <c r="I1101" t="s">
        <v>39</v>
      </c>
      <c r="J1101"/>
      <c r="K1101">
        <v>355.93</v>
      </c>
      <c r="L1101">
        <v>0.0</v>
      </c>
      <c r="M1101"/>
      <c r="N1101"/>
      <c r="O1101">
        <v>64.07</v>
      </c>
      <c r="P1101">
        <v>0.0</v>
      </c>
      <c r="Q1101">
        <v>420.0</v>
      </c>
      <c r="R1101"/>
      <c r="S1101"/>
      <c r="T1101"/>
      <c r="U1101"/>
      <c r="V1101"/>
      <c r="W1101">
        <v>18</v>
      </c>
    </row>
    <row r="1102" spans="1:23">
      <c r="A1102"/>
      <c r="B1102" t="s">
        <v>89</v>
      </c>
      <c r="C1102" t="s">
        <v>89</v>
      </c>
      <c r="D1102" t="s">
        <v>37</v>
      </c>
      <c r="E1102" t="s">
        <v>38</v>
      </c>
      <c r="F1102" t="str">
        <f>"0001207"</f>
        <v>0001207</v>
      </c>
      <c r="G1102">
        <v>1</v>
      </c>
      <c r="H1102" t="str">
        <f>"00000000"</f>
        <v>00000000</v>
      </c>
      <c r="I1102" t="s">
        <v>39</v>
      </c>
      <c r="J1102"/>
      <c r="K1102">
        <v>381.36</v>
      </c>
      <c r="L1102">
        <v>0.0</v>
      </c>
      <c r="M1102"/>
      <c r="N1102"/>
      <c r="O1102">
        <v>68.64</v>
      </c>
      <c r="P1102">
        <v>0.0</v>
      </c>
      <c r="Q1102">
        <v>450.0</v>
      </c>
      <c r="R1102"/>
      <c r="S1102"/>
      <c r="T1102"/>
      <c r="U1102"/>
      <c r="V1102"/>
      <c r="W1102">
        <v>18</v>
      </c>
    </row>
    <row r="1103" spans="1:23">
      <c r="A1103"/>
      <c r="B1103" t="s">
        <v>89</v>
      </c>
      <c r="C1103" t="s">
        <v>89</v>
      </c>
      <c r="D1103" t="s">
        <v>37</v>
      </c>
      <c r="E1103" t="s">
        <v>38</v>
      </c>
      <c r="F1103" t="str">
        <f>"0001208"</f>
        <v>0001208</v>
      </c>
      <c r="G1103">
        <v>1</v>
      </c>
      <c r="H1103" t="str">
        <f>"00000000"</f>
        <v>00000000</v>
      </c>
      <c r="I1103" t="s">
        <v>39</v>
      </c>
      <c r="J1103"/>
      <c r="K1103">
        <v>296.61</v>
      </c>
      <c r="L1103">
        <v>0.0</v>
      </c>
      <c r="M1103"/>
      <c r="N1103"/>
      <c r="O1103">
        <v>53.39</v>
      </c>
      <c r="P1103">
        <v>0.0</v>
      </c>
      <c r="Q1103">
        <v>350.0</v>
      </c>
      <c r="R1103"/>
      <c r="S1103"/>
      <c r="T1103"/>
      <c r="U1103"/>
      <c r="V1103"/>
      <c r="W1103">
        <v>18</v>
      </c>
    </row>
    <row r="1104" spans="1:23">
      <c r="A1104"/>
      <c r="B1104" t="s">
        <v>89</v>
      </c>
      <c r="C1104" t="s">
        <v>89</v>
      </c>
      <c r="D1104" t="s">
        <v>37</v>
      </c>
      <c r="E1104" t="s">
        <v>38</v>
      </c>
      <c r="F1104" t="str">
        <f>"0001209"</f>
        <v>0001209</v>
      </c>
      <c r="G1104">
        <v>1</v>
      </c>
      <c r="H1104" t="str">
        <f>"00000000"</f>
        <v>00000000</v>
      </c>
      <c r="I1104" t="s">
        <v>39</v>
      </c>
      <c r="J1104"/>
      <c r="K1104">
        <v>254.24</v>
      </c>
      <c r="L1104">
        <v>0.0</v>
      </c>
      <c r="M1104"/>
      <c r="N1104"/>
      <c r="O1104">
        <v>45.76</v>
      </c>
      <c r="P1104">
        <v>0.0</v>
      </c>
      <c r="Q1104">
        <v>300.0</v>
      </c>
      <c r="R1104"/>
      <c r="S1104"/>
      <c r="T1104"/>
      <c r="U1104"/>
      <c r="V1104"/>
      <c r="W1104">
        <v>18</v>
      </c>
    </row>
    <row r="1105" spans="1:23">
      <c r="A1105"/>
      <c r="B1105" t="s">
        <v>89</v>
      </c>
      <c r="C1105" t="s">
        <v>89</v>
      </c>
      <c r="D1105" t="s">
        <v>37</v>
      </c>
      <c r="E1105" t="s">
        <v>38</v>
      </c>
      <c r="F1105" t="str">
        <f>"0001210"</f>
        <v>0001210</v>
      </c>
      <c r="G1105">
        <v>1</v>
      </c>
      <c r="H1105" t="str">
        <f>"00000000"</f>
        <v>00000000</v>
      </c>
      <c r="I1105" t="s">
        <v>39</v>
      </c>
      <c r="J1105"/>
      <c r="K1105">
        <v>254.24</v>
      </c>
      <c r="L1105">
        <v>0.0</v>
      </c>
      <c r="M1105"/>
      <c r="N1105"/>
      <c r="O1105">
        <v>45.76</v>
      </c>
      <c r="P1105">
        <v>0.0</v>
      </c>
      <c r="Q1105">
        <v>300.0</v>
      </c>
      <c r="R1105"/>
      <c r="S1105"/>
      <c r="T1105"/>
      <c r="U1105"/>
      <c r="V1105"/>
      <c r="W1105">
        <v>18</v>
      </c>
    </row>
    <row r="1106" spans="1:23">
      <c r="A1106"/>
      <c r="B1106" t="s">
        <v>89</v>
      </c>
      <c r="C1106" t="s">
        <v>89</v>
      </c>
      <c r="D1106" t="s">
        <v>37</v>
      </c>
      <c r="E1106" t="s">
        <v>38</v>
      </c>
      <c r="F1106" t="str">
        <f>"0001211"</f>
        <v>0001211</v>
      </c>
      <c r="G1106">
        <v>1</v>
      </c>
      <c r="H1106" t="str">
        <f>"00000000"</f>
        <v>00000000</v>
      </c>
      <c r="I1106" t="s">
        <v>39</v>
      </c>
      <c r="J1106"/>
      <c r="K1106">
        <v>330.51</v>
      </c>
      <c r="L1106">
        <v>0.0</v>
      </c>
      <c r="M1106"/>
      <c r="N1106"/>
      <c r="O1106">
        <v>59.49</v>
      </c>
      <c r="P1106">
        <v>0.0</v>
      </c>
      <c r="Q1106">
        <v>390.0</v>
      </c>
      <c r="R1106"/>
      <c r="S1106"/>
      <c r="T1106"/>
      <c r="U1106"/>
      <c r="V1106"/>
      <c r="W1106">
        <v>18</v>
      </c>
    </row>
    <row r="1107" spans="1:23">
      <c r="A1107"/>
      <c r="B1107" t="s">
        <v>89</v>
      </c>
      <c r="C1107" t="s">
        <v>89</v>
      </c>
      <c r="D1107" t="s">
        <v>37</v>
      </c>
      <c r="E1107" t="s">
        <v>38</v>
      </c>
      <c r="F1107" t="str">
        <f>"0001212"</f>
        <v>0001212</v>
      </c>
      <c r="G1107">
        <v>1</v>
      </c>
      <c r="H1107" t="str">
        <f>"00000000"</f>
        <v>00000000</v>
      </c>
      <c r="I1107" t="s">
        <v>39</v>
      </c>
      <c r="J1107"/>
      <c r="K1107">
        <v>322.03</v>
      </c>
      <c r="L1107">
        <v>0.0</v>
      </c>
      <c r="M1107"/>
      <c r="N1107"/>
      <c r="O1107">
        <v>57.97</v>
      </c>
      <c r="P1107">
        <v>0.0</v>
      </c>
      <c r="Q1107">
        <v>380.0</v>
      </c>
      <c r="R1107"/>
      <c r="S1107"/>
      <c r="T1107"/>
      <c r="U1107"/>
      <c r="V1107"/>
      <c r="W1107">
        <v>18</v>
      </c>
    </row>
    <row r="1108" spans="1:23">
      <c r="A1108"/>
      <c r="B1108" t="s">
        <v>89</v>
      </c>
      <c r="C1108" t="s">
        <v>89</v>
      </c>
      <c r="D1108" t="s">
        <v>37</v>
      </c>
      <c r="E1108" t="s">
        <v>38</v>
      </c>
      <c r="F1108" t="str">
        <f>"0001213"</f>
        <v>0001213</v>
      </c>
      <c r="G1108">
        <v>1</v>
      </c>
      <c r="H1108" t="str">
        <f>"00000000"</f>
        <v>00000000</v>
      </c>
      <c r="I1108" t="s">
        <v>39</v>
      </c>
      <c r="J1108"/>
      <c r="K1108">
        <v>381.36</v>
      </c>
      <c r="L1108">
        <v>0.0</v>
      </c>
      <c r="M1108"/>
      <c r="N1108"/>
      <c r="O1108">
        <v>68.64</v>
      </c>
      <c r="P1108">
        <v>0.0</v>
      </c>
      <c r="Q1108">
        <v>450.0</v>
      </c>
      <c r="R1108"/>
      <c r="S1108"/>
      <c r="T1108"/>
      <c r="U1108"/>
      <c r="V1108"/>
      <c r="W1108">
        <v>18</v>
      </c>
    </row>
    <row r="1109" spans="1:23">
      <c r="A1109"/>
      <c r="B1109" t="s">
        <v>89</v>
      </c>
      <c r="C1109" t="s">
        <v>89</v>
      </c>
      <c r="D1109" t="s">
        <v>37</v>
      </c>
      <c r="E1109" t="s">
        <v>38</v>
      </c>
      <c r="F1109" t="str">
        <f>"0001214"</f>
        <v>0001214</v>
      </c>
      <c r="G1109">
        <v>1</v>
      </c>
      <c r="H1109" t="str">
        <f>"00000000"</f>
        <v>00000000</v>
      </c>
      <c r="I1109" t="s">
        <v>39</v>
      </c>
      <c r="J1109"/>
      <c r="K1109">
        <v>296.61</v>
      </c>
      <c r="L1109">
        <v>0.0</v>
      </c>
      <c r="M1109"/>
      <c r="N1109"/>
      <c r="O1109">
        <v>53.39</v>
      </c>
      <c r="P1109">
        <v>0.0</v>
      </c>
      <c r="Q1109">
        <v>350.0</v>
      </c>
      <c r="R1109"/>
      <c r="S1109"/>
      <c r="T1109"/>
      <c r="U1109"/>
      <c r="V1109"/>
      <c r="W1109">
        <v>18</v>
      </c>
    </row>
    <row r="1110" spans="1:23">
      <c r="A1110"/>
      <c r="B1110" t="s">
        <v>89</v>
      </c>
      <c r="C1110" t="s">
        <v>89</v>
      </c>
      <c r="D1110" t="s">
        <v>37</v>
      </c>
      <c r="E1110" t="s">
        <v>38</v>
      </c>
      <c r="F1110" t="str">
        <f>"0001215"</f>
        <v>0001215</v>
      </c>
      <c r="G1110">
        <v>1</v>
      </c>
      <c r="H1110" t="str">
        <f>"00000000"</f>
        <v>00000000</v>
      </c>
      <c r="I1110" t="s">
        <v>39</v>
      </c>
      <c r="J1110"/>
      <c r="K1110">
        <v>406.78</v>
      </c>
      <c r="L1110">
        <v>0.0</v>
      </c>
      <c r="M1110"/>
      <c r="N1110"/>
      <c r="O1110">
        <v>73.22</v>
      </c>
      <c r="P1110">
        <v>0.0</v>
      </c>
      <c r="Q1110">
        <v>480.0</v>
      </c>
      <c r="R1110"/>
      <c r="S1110"/>
      <c r="T1110"/>
      <c r="U1110"/>
      <c r="V1110"/>
      <c r="W1110">
        <v>18</v>
      </c>
    </row>
    <row r="1111" spans="1:23">
      <c r="A1111"/>
      <c r="B1111" t="s">
        <v>89</v>
      </c>
      <c r="C1111" t="s">
        <v>89</v>
      </c>
      <c r="D1111" t="s">
        <v>37</v>
      </c>
      <c r="E1111" t="s">
        <v>38</v>
      </c>
      <c r="F1111" t="str">
        <f>"0001216"</f>
        <v>0001216</v>
      </c>
      <c r="G1111">
        <v>1</v>
      </c>
      <c r="H1111" t="str">
        <f>"00000000"</f>
        <v>00000000</v>
      </c>
      <c r="I1111" t="s">
        <v>39</v>
      </c>
      <c r="J1111"/>
      <c r="K1111">
        <v>254.24</v>
      </c>
      <c r="L1111">
        <v>0.0</v>
      </c>
      <c r="M1111"/>
      <c r="N1111"/>
      <c r="O1111">
        <v>45.76</v>
      </c>
      <c r="P1111">
        <v>0.0</v>
      </c>
      <c r="Q1111">
        <v>300.0</v>
      </c>
      <c r="R1111"/>
      <c r="S1111"/>
      <c r="T1111"/>
      <c r="U1111"/>
      <c r="V1111"/>
      <c r="W1111">
        <v>18</v>
      </c>
    </row>
    <row r="1112" spans="1:23">
      <c r="A1112"/>
      <c r="B1112" t="s">
        <v>89</v>
      </c>
      <c r="C1112" t="s">
        <v>89</v>
      </c>
      <c r="D1112" t="s">
        <v>37</v>
      </c>
      <c r="E1112" t="s">
        <v>38</v>
      </c>
      <c r="F1112" t="str">
        <f>"0001217"</f>
        <v>0001217</v>
      </c>
      <c r="G1112">
        <v>1</v>
      </c>
      <c r="H1112" t="str">
        <f>"00000000"</f>
        <v>00000000</v>
      </c>
      <c r="I1112" t="s">
        <v>39</v>
      </c>
      <c r="J1112"/>
      <c r="K1112">
        <v>296.61</v>
      </c>
      <c r="L1112">
        <v>0.0</v>
      </c>
      <c r="M1112"/>
      <c r="N1112"/>
      <c r="O1112">
        <v>53.39</v>
      </c>
      <c r="P1112">
        <v>0.0</v>
      </c>
      <c r="Q1112">
        <v>350.0</v>
      </c>
      <c r="R1112"/>
      <c r="S1112"/>
      <c r="T1112"/>
      <c r="U1112"/>
      <c r="V1112"/>
      <c r="W1112">
        <v>18</v>
      </c>
    </row>
    <row r="1113" spans="1:23">
      <c r="A1113"/>
      <c r="B1113" t="s">
        <v>89</v>
      </c>
      <c r="C1113" t="s">
        <v>89</v>
      </c>
      <c r="D1113" t="s">
        <v>37</v>
      </c>
      <c r="E1113" t="s">
        <v>38</v>
      </c>
      <c r="F1113" t="str">
        <f>"0001218"</f>
        <v>0001218</v>
      </c>
      <c r="G1113">
        <v>1</v>
      </c>
      <c r="H1113" t="str">
        <f>"00000000"</f>
        <v>00000000</v>
      </c>
      <c r="I1113" t="s">
        <v>39</v>
      </c>
      <c r="J1113"/>
      <c r="K1113">
        <v>381.36</v>
      </c>
      <c r="L1113">
        <v>0.0</v>
      </c>
      <c r="M1113"/>
      <c r="N1113"/>
      <c r="O1113">
        <v>68.64</v>
      </c>
      <c r="P1113">
        <v>0.0</v>
      </c>
      <c r="Q1113">
        <v>450.0</v>
      </c>
      <c r="R1113"/>
      <c r="S1113"/>
      <c r="T1113"/>
      <c r="U1113"/>
      <c r="V1113"/>
      <c r="W1113">
        <v>18</v>
      </c>
    </row>
    <row r="1114" spans="1:23">
      <c r="A1114"/>
      <c r="B1114" t="s">
        <v>89</v>
      </c>
      <c r="C1114" t="s">
        <v>89</v>
      </c>
      <c r="D1114" t="s">
        <v>37</v>
      </c>
      <c r="E1114" t="s">
        <v>38</v>
      </c>
      <c r="F1114" t="str">
        <f>"0001219"</f>
        <v>0001219</v>
      </c>
      <c r="G1114">
        <v>1</v>
      </c>
      <c r="H1114" t="str">
        <f>"00000000"</f>
        <v>00000000</v>
      </c>
      <c r="I1114" t="s">
        <v>39</v>
      </c>
      <c r="J1114"/>
      <c r="K1114">
        <v>330.51</v>
      </c>
      <c r="L1114">
        <v>0.0</v>
      </c>
      <c r="M1114"/>
      <c r="N1114"/>
      <c r="O1114">
        <v>59.49</v>
      </c>
      <c r="P1114">
        <v>0.0</v>
      </c>
      <c r="Q1114">
        <v>390.0</v>
      </c>
      <c r="R1114"/>
      <c r="S1114"/>
      <c r="T1114"/>
      <c r="U1114"/>
      <c r="V1114"/>
      <c r="W1114">
        <v>18</v>
      </c>
    </row>
    <row r="1115" spans="1:23">
      <c r="A1115"/>
      <c r="B1115" t="s">
        <v>89</v>
      </c>
      <c r="C1115" t="s">
        <v>89</v>
      </c>
      <c r="D1115" t="s">
        <v>37</v>
      </c>
      <c r="E1115" t="s">
        <v>38</v>
      </c>
      <c r="F1115" t="str">
        <f>"0001220"</f>
        <v>0001220</v>
      </c>
      <c r="G1115">
        <v>1</v>
      </c>
      <c r="H1115" t="str">
        <f>"00000000"</f>
        <v>00000000</v>
      </c>
      <c r="I1115" t="s">
        <v>39</v>
      </c>
      <c r="J1115"/>
      <c r="K1115">
        <v>254.24</v>
      </c>
      <c r="L1115">
        <v>0.0</v>
      </c>
      <c r="M1115"/>
      <c r="N1115"/>
      <c r="O1115">
        <v>45.76</v>
      </c>
      <c r="P1115">
        <v>0.0</v>
      </c>
      <c r="Q1115">
        <v>300.0</v>
      </c>
      <c r="R1115"/>
      <c r="S1115"/>
      <c r="T1115"/>
      <c r="U1115"/>
      <c r="V1115"/>
      <c r="W1115">
        <v>18</v>
      </c>
    </row>
    <row r="1116" spans="1:23">
      <c r="A1116"/>
      <c r="B1116" t="s">
        <v>89</v>
      </c>
      <c r="C1116" t="s">
        <v>89</v>
      </c>
      <c r="D1116" t="s">
        <v>37</v>
      </c>
      <c r="E1116" t="s">
        <v>38</v>
      </c>
      <c r="F1116" t="str">
        <f>"0001221"</f>
        <v>0001221</v>
      </c>
      <c r="G1116">
        <v>1</v>
      </c>
      <c r="H1116" t="str">
        <f>"00000000"</f>
        <v>00000000</v>
      </c>
      <c r="I1116" t="s">
        <v>39</v>
      </c>
      <c r="J1116"/>
      <c r="K1116">
        <v>355.93</v>
      </c>
      <c r="L1116">
        <v>0.0</v>
      </c>
      <c r="M1116"/>
      <c r="N1116"/>
      <c r="O1116">
        <v>64.07</v>
      </c>
      <c r="P1116">
        <v>0.0</v>
      </c>
      <c r="Q1116">
        <v>420.0</v>
      </c>
      <c r="R1116"/>
      <c r="S1116"/>
      <c r="T1116"/>
      <c r="U1116"/>
      <c r="V1116"/>
      <c r="W1116">
        <v>18</v>
      </c>
    </row>
    <row r="1117" spans="1:23">
      <c r="A1117"/>
      <c r="B1117" t="s">
        <v>89</v>
      </c>
      <c r="C1117" t="s">
        <v>89</v>
      </c>
      <c r="D1117" t="s">
        <v>37</v>
      </c>
      <c r="E1117" t="s">
        <v>38</v>
      </c>
      <c r="F1117" t="str">
        <f>"0001222"</f>
        <v>0001222</v>
      </c>
      <c r="G1117">
        <v>1</v>
      </c>
      <c r="H1117" t="str">
        <f>"00000000"</f>
        <v>00000000</v>
      </c>
      <c r="I1117" t="s">
        <v>39</v>
      </c>
      <c r="J1117"/>
      <c r="K1117">
        <v>377.12</v>
      </c>
      <c r="L1117">
        <v>0.0</v>
      </c>
      <c r="M1117"/>
      <c r="N1117"/>
      <c r="O1117">
        <v>67.88</v>
      </c>
      <c r="P1117">
        <v>0.0</v>
      </c>
      <c r="Q1117">
        <v>445.0</v>
      </c>
      <c r="R1117"/>
      <c r="S1117"/>
      <c r="T1117"/>
      <c r="U1117"/>
      <c r="V1117"/>
      <c r="W1117">
        <v>18</v>
      </c>
    </row>
    <row r="1118" spans="1:23">
      <c r="A1118"/>
      <c r="B1118" t="s">
        <v>89</v>
      </c>
      <c r="C1118" t="s">
        <v>89</v>
      </c>
      <c r="D1118" t="s">
        <v>37</v>
      </c>
      <c r="E1118" t="s">
        <v>38</v>
      </c>
      <c r="F1118" t="str">
        <f>"0001223"</f>
        <v>0001223</v>
      </c>
      <c r="G1118">
        <v>1</v>
      </c>
      <c r="H1118" t="str">
        <f>"00000000"</f>
        <v>00000000</v>
      </c>
      <c r="I1118" t="s">
        <v>39</v>
      </c>
      <c r="J1118"/>
      <c r="K1118">
        <v>152.54</v>
      </c>
      <c r="L1118">
        <v>0.0</v>
      </c>
      <c r="M1118"/>
      <c r="N1118"/>
      <c r="O1118">
        <v>27.46</v>
      </c>
      <c r="P1118">
        <v>0.0</v>
      </c>
      <c r="Q1118">
        <v>180.0</v>
      </c>
      <c r="R1118"/>
      <c r="S1118"/>
      <c r="T1118"/>
      <c r="U1118"/>
      <c r="V1118"/>
      <c r="W1118">
        <v>18</v>
      </c>
    </row>
    <row r="1119" spans="1:23">
      <c r="A1119"/>
      <c r="B1119" t="s">
        <v>90</v>
      </c>
      <c r="C1119" t="s">
        <v>90</v>
      </c>
      <c r="D1119" t="s">
        <v>33</v>
      </c>
      <c r="E1119" t="s">
        <v>34</v>
      </c>
      <c r="F1119" t="str">
        <f>"0000028"</f>
        <v>0000028</v>
      </c>
      <c r="G1119">
        <v>6</v>
      </c>
      <c r="H1119" t="str">
        <f>"20395263952"</f>
        <v>20395263952</v>
      </c>
      <c r="I1119" t="s">
        <v>47</v>
      </c>
      <c r="J1119"/>
      <c r="K1119">
        <v>4237.29</v>
      </c>
      <c r="L1119">
        <v>0.0</v>
      </c>
      <c r="M1119"/>
      <c r="N1119"/>
      <c r="O1119">
        <v>762.71</v>
      </c>
      <c r="P1119">
        <v>0.0</v>
      </c>
      <c r="Q1119">
        <v>5000.0</v>
      </c>
      <c r="R1119"/>
      <c r="S1119"/>
      <c r="T1119"/>
      <c r="U1119"/>
      <c r="V1119"/>
      <c r="W1119">
        <v>18</v>
      </c>
    </row>
    <row r="1120" spans="1:23">
      <c r="A1120"/>
      <c r="B1120" t="s">
        <v>90</v>
      </c>
      <c r="C1120" t="s">
        <v>90</v>
      </c>
      <c r="D1120" t="s">
        <v>33</v>
      </c>
      <c r="E1120" t="s">
        <v>34</v>
      </c>
      <c r="F1120" t="str">
        <f>"0000029"</f>
        <v>0000029</v>
      </c>
      <c r="G1120">
        <v>6</v>
      </c>
      <c r="H1120" t="str">
        <f>"20395263952"</f>
        <v>20395263952</v>
      </c>
      <c r="I1120" t="s">
        <v>47</v>
      </c>
      <c r="J1120"/>
      <c r="K1120">
        <v>4237.29</v>
      </c>
      <c r="L1120">
        <v>0.0</v>
      </c>
      <c r="M1120"/>
      <c r="N1120"/>
      <c r="O1120">
        <v>762.71</v>
      </c>
      <c r="P1120">
        <v>0.0</v>
      </c>
      <c r="Q1120">
        <v>5000.0</v>
      </c>
      <c r="R1120"/>
      <c r="S1120"/>
      <c r="T1120"/>
      <c r="U1120"/>
      <c r="V1120"/>
      <c r="W1120">
        <v>18</v>
      </c>
    </row>
    <row r="1121" spans="1:23">
      <c r="A1121"/>
      <c r="B1121" t="s">
        <v>90</v>
      </c>
      <c r="C1121" t="s">
        <v>90</v>
      </c>
      <c r="D1121" t="s">
        <v>33</v>
      </c>
      <c r="E1121" t="s">
        <v>34</v>
      </c>
      <c r="F1121" t="str">
        <f>"0000030"</f>
        <v>0000030</v>
      </c>
      <c r="G1121">
        <v>6</v>
      </c>
      <c r="H1121" t="str">
        <f>"20395263952"</f>
        <v>20395263952</v>
      </c>
      <c r="I1121" t="s">
        <v>47</v>
      </c>
      <c r="J1121"/>
      <c r="K1121">
        <v>4237.29</v>
      </c>
      <c r="L1121">
        <v>0.0</v>
      </c>
      <c r="M1121"/>
      <c r="N1121"/>
      <c r="O1121">
        <v>762.71</v>
      </c>
      <c r="P1121">
        <v>0.0</v>
      </c>
      <c r="Q1121">
        <v>5000.0</v>
      </c>
      <c r="R1121"/>
      <c r="S1121"/>
      <c r="T1121"/>
      <c r="U1121"/>
      <c r="V1121"/>
      <c r="W1121">
        <v>18</v>
      </c>
    </row>
    <row r="1122" spans="1:23">
      <c r="A1122"/>
      <c r="B1122" t="s">
        <v>90</v>
      </c>
      <c r="C1122" t="s">
        <v>90</v>
      </c>
      <c r="D1122" t="s">
        <v>37</v>
      </c>
      <c r="E1122" t="s">
        <v>38</v>
      </c>
      <c r="F1122" t="str">
        <f>"0001224"</f>
        <v>0001224</v>
      </c>
      <c r="G1122">
        <v>1</v>
      </c>
      <c r="H1122" t="str">
        <f>"00000000"</f>
        <v>00000000</v>
      </c>
      <c r="I1122" t="s">
        <v>39</v>
      </c>
      <c r="J1122"/>
      <c r="K1122">
        <v>254.24</v>
      </c>
      <c r="L1122">
        <v>0.0</v>
      </c>
      <c r="M1122"/>
      <c r="N1122"/>
      <c r="O1122">
        <v>45.76</v>
      </c>
      <c r="P1122">
        <v>0.0</v>
      </c>
      <c r="Q1122">
        <v>300.0</v>
      </c>
      <c r="R1122"/>
      <c r="S1122"/>
      <c r="T1122"/>
      <c r="U1122"/>
      <c r="V1122"/>
      <c r="W1122">
        <v>18</v>
      </c>
    </row>
    <row r="1123" spans="1:23">
      <c r="A1123"/>
      <c r="B1123" t="s">
        <v>90</v>
      </c>
      <c r="C1123" t="s">
        <v>90</v>
      </c>
      <c r="D1123" t="s">
        <v>37</v>
      </c>
      <c r="E1123" t="s">
        <v>38</v>
      </c>
      <c r="F1123" t="str">
        <f>"0001225"</f>
        <v>0001225</v>
      </c>
      <c r="G1123">
        <v>1</v>
      </c>
      <c r="H1123" t="str">
        <f>"00000000"</f>
        <v>00000000</v>
      </c>
      <c r="I1123" t="s">
        <v>39</v>
      </c>
      <c r="J1123"/>
      <c r="K1123">
        <v>381.36</v>
      </c>
      <c r="L1123">
        <v>0.0</v>
      </c>
      <c r="M1123"/>
      <c r="N1123"/>
      <c r="O1123">
        <v>68.64</v>
      </c>
      <c r="P1123">
        <v>0.0</v>
      </c>
      <c r="Q1123">
        <v>450.0</v>
      </c>
      <c r="R1123"/>
      <c r="S1123"/>
      <c r="T1123"/>
      <c r="U1123"/>
      <c r="V1123"/>
      <c r="W1123">
        <v>18</v>
      </c>
    </row>
    <row r="1124" spans="1:23">
      <c r="A1124"/>
      <c r="B1124" t="s">
        <v>90</v>
      </c>
      <c r="C1124" t="s">
        <v>90</v>
      </c>
      <c r="D1124" t="s">
        <v>37</v>
      </c>
      <c r="E1124" t="s">
        <v>38</v>
      </c>
      <c r="F1124" t="str">
        <f>"0001226"</f>
        <v>0001226</v>
      </c>
      <c r="G1124">
        <v>1</v>
      </c>
      <c r="H1124" t="str">
        <f>"00000000"</f>
        <v>00000000</v>
      </c>
      <c r="I1124" t="s">
        <v>39</v>
      </c>
      <c r="J1124"/>
      <c r="K1124">
        <v>423.73</v>
      </c>
      <c r="L1124">
        <v>0.0</v>
      </c>
      <c r="M1124"/>
      <c r="N1124"/>
      <c r="O1124">
        <v>76.27</v>
      </c>
      <c r="P1124">
        <v>0.0</v>
      </c>
      <c r="Q1124">
        <v>500.0</v>
      </c>
      <c r="R1124"/>
      <c r="S1124"/>
      <c r="T1124"/>
      <c r="U1124"/>
      <c r="V1124"/>
      <c r="W1124">
        <v>18</v>
      </c>
    </row>
    <row r="1125" spans="1:23">
      <c r="A1125"/>
      <c r="B1125" t="s">
        <v>90</v>
      </c>
      <c r="C1125" t="s">
        <v>90</v>
      </c>
      <c r="D1125" t="s">
        <v>37</v>
      </c>
      <c r="E1125" t="s">
        <v>38</v>
      </c>
      <c r="F1125" t="str">
        <f>"0001227"</f>
        <v>0001227</v>
      </c>
      <c r="G1125">
        <v>1</v>
      </c>
      <c r="H1125" t="str">
        <f>"00000000"</f>
        <v>00000000</v>
      </c>
      <c r="I1125" t="s">
        <v>39</v>
      </c>
      <c r="J1125"/>
      <c r="K1125">
        <v>423.73</v>
      </c>
      <c r="L1125">
        <v>0.0</v>
      </c>
      <c r="M1125"/>
      <c r="N1125"/>
      <c r="O1125">
        <v>76.27</v>
      </c>
      <c r="P1125">
        <v>0.0</v>
      </c>
      <c r="Q1125">
        <v>500.0</v>
      </c>
      <c r="R1125"/>
      <c r="S1125"/>
      <c r="T1125"/>
      <c r="U1125"/>
      <c r="V1125"/>
      <c r="W1125">
        <v>18</v>
      </c>
    </row>
    <row r="1126" spans="1:23">
      <c r="A1126"/>
      <c r="B1126" t="s">
        <v>90</v>
      </c>
      <c r="C1126" t="s">
        <v>90</v>
      </c>
      <c r="D1126" t="s">
        <v>37</v>
      </c>
      <c r="E1126" t="s">
        <v>38</v>
      </c>
      <c r="F1126" t="str">
        <f>"0001228"</f>
        <v>0001228</v>
      </c>
      <c r="G1126">
        <v>1</v>
      </c>
      <c r="H1126" t="str">
        <f>"00000000"</f>
        <v>00000000</v>
      </c>
      <c r="I1126" t="s">
        <v>39</v>
      </c>
      <c r="J1126"/>
      <c r="K1126">
        <v>254.24</v>
      </c>
      <c r="L1126">
        <v>0.0</v>
      </c>
      <c r="M1126"/>
      <c r="N1126"/>
      <c r="O1126">
        <v>45.76</v>
      </c>
      <c r="P1126">
        <v>0.0</v>
      </c>
      <c r="Q1126">
        <v>300.0</v>
      </c>
      <c r="R1126"/>
      <c r="S1126"/>
      <c r="T1126"/>
      <c r="U1126"/>
      <c r="V1126"/>
      <c r="W1126">
        <v>18</v>
      </c>
    </row>
    <row r="1127" spans="1:23">
      <c r="A1127"/>
      <c r="B1127" t="s">
        <v>90</v>
      </c>
      <c r="C1127" t="s">
        <v>90</v>
      </c>
      <c r="D1127" t="s">
        <v>37</v>
      </c>
      <c r="E1127" t="s">
        <v>38</v>
      </c>
      <c r="F1127" t="str">
        <f>"0001229"</f>
        <v>0001229</v>
      </c>
      <c r="G1127">
        <v>1</v>
      </c>
      <c r="H1127" t="str">
        <f>"00000000"</f>
        <v>00000000</v>
      </c>
      <c r="I1127" t="s">
        <v>39</v>
      </c>
      <c r="J1127"/>
      <c r="K1127">
        <v>330.51</v>
      </c>
      <c r="L1127">
        <v>0.0</v>
      </c>
      <c r="M1127"/>
      <c r="N1127"/>
      <c r="O1127">
        <v>59.49</v>
      </c>
      <c r="P1127">
        <v>0.0</v>
      </c>
      <c r="Q1127">
        <v>390.0</v>
      </c>
      <c r="R1127"/>
      <c r="S1127"/>
      <c r="T1127"/>
      <c r="U1127"/>
      <c r="V1127"/>
      <c r="W1127">
        <v>18</v>
      </c>
    </row>
    <row r="1128" spans="1:23">
      <c r="A1128"/>
      <c r="B1128" t="s">
        <v>90</v>
      </c>
      <c r="C1128" t="s">
        <v>90</v>
      </c>
      <c r="D1128" t="s">
        <v>37</v>
      </c>
      <c r="E1128" t="s">
        <v>38</v>
      </c>
      <c r="F1128" t="str">
        <f>"0001230"</f>
        <v>0001230</v>
      </c>
      <c r="G1128">
        <v>1</v>
      </c>
      <c r="H1128" t="str">
        <f>"00000000"</f>
        <v>00000000</v>
      </c>
      <c r="I1128" t="s">
        <v>39</v>
      </c>
      <c r="J1128"/>
      <c r="K1128">
        <v>381.36</v>
      </c>
      <c r="L1128">
        <v>0.0</v>
      </c>
      <c r="M1128"/>
      <c r="N1128"/>
      <c r="O1128">
        <v>68.64</v>
      </c>
      <c r="P1128">
        <v>0.0</v>
      </c>
      <c r="Q1128">
        <v>450.0</v>
      </c>
      <c r="R1128"/>
      <c r="S1128"/>
      <c r="T1128"/>
      <c r="U1128"/>
      <c r="V1128"/>
      <c r="W1128">
        <v>18</v>
      </c>
    </row>
    <row r="1129" spans="1:23">
      <c r="A1129"/>
      <c r="B1129" t="s">
        <v>90</v>
      </c>
      <c r="C1129" t="s">
        <v>90</v>
      </c>
      <c r="D1129" t="s">
        <v>37</v>
      </c>
      <c r="E1129" t="s">
        <v>38</v>
      </c>
      <c r="F1129" t="str">
        <f>"0001231"</f>
        <v>0001231</v>
      </c>
      <c r="G1129">
        <v>1</v>
      </c>
      <c r="H1129" t="str">
        <f>"00000000"</f>
        <v>00000000</v>
      </c>
      <c r="I1129" t="s">
        <v>39</v>
      </c>
      <c r="J1129"/>
      <c r="K1129">
        <v>305.08</v>
      </c>
      <c r="L1129">
        <v>0.0</v>
      </c>
      <c r="M1129"/>
      <c r="N1129"/>
      <c r="O1129">
        <v>54.92</v>
      </c>
      <c r="P1129">
        <v>0.0</v>
      </c>
      <c r="Q1129">
        <v>360.0</v>
      </c>
      <c r="R1129"/>
      <c r="S1129"/>
      <c r="T1129"/>
      <c r="U1129"/>
      <c r="V1129"/>
      <c r="W1129">
        <v>18</v>
      </c>
    </row>
    <row r="1130" spans="1:23">
      <c r="A1130"/>
      <c r="B1130" t="s">
        <v>90</v>
      </c>
      <c r="C1130" t="s">
        <v>90</v>
      </c>
      <c r="D1130" t="s">
        <v>37</v>
      </c>
      <c r="E1130" t="s">
        <v>38</v>
      </c>
      <c r="F1130" t="str">
        <f>"0001232"</f>
        <v>0001232</v>
      </c>
      <c r="G1130">
        <v>1</v>
      </c>
      <c r="H1130" t="str">
        <f>"00000000"</f>
        <v>00000000</v>
      </c>
      <c r="I1130" t="s">
        <v>39</v>
      </c>
      <c r="J1130"/>
      <c r="K1130">
        <v>423.73</v>
      </c>
      <c r="L1130">
        <v>0.0</v>
      </c>
      <c r="M1130"/>
      <c r="N1130"/>
      <c r="O1130">
        <v>76.27</v>
      </c>
      <c r="P1130">
        <v>0.0</v>
      </c>
      <c r="Q1130">
        <v>500.0</v>
      </c>
      <c r="R1130"/>
      <c r="S1130"/>
      <c r="T1130"/>
      <c r="U1130"/>
      <c r="V1130"/>
      <c r="W1130">
        <v>18</v>
      </c>
    </row>
    <row r="1131" spans="1:23">
      <c r="A1131"/>
      <c r="B1131" t="s">
        <v>90</v>
      </c>
      <c r="C1131" t="s">
        <v>90</v>
      </c>
      <c r="D1131" t="s">
        <v>37</v>
      </c>
      <c r="E1131" t="s">
        <v>38</v>
      </c>
      <c r="F1131" t="str">
        <f>"0001233"</f>
        <v>0001233</v>
      </c>
      <c r="G1131">
        <v>1</v>
      </c>
      <c r="H1131" t="str">
        <f>"00000000"</f>
        <v>00000000</v>
      </c>
      <c r="I1131" t="s">
        <v>39</v>
      </c>
      <c r="J1131"/>
      <c r="K1131">
        <v>423.73</v>
      </c>
      <c r="L1131">
        <v>0.0</v>
      </c>
      <c r="M1131"/>
      <c r="N1131"/>
      <c r="O1131">
        <v>76.27</v>
      </c>
      <c r="P1131">
        <v>0.0</v>
      </c>
      <c r="Q1131">
        <v>500.0</v>
      </c>
      <c r="R1131"/>
      <c r="S1131"/>
      <c r="T1131"/>
      <c r="U1131"/>
      <c r="V1131"/>
      <c r="W1131">
        <v>18</v>
      </c>
    </row>
    <row r="1132" spans="1:23">
      <c r="A1132"/>
      <c r="B1132" t="s">
        <v>90</v>
      </c>
      <c r="C1132" t="s">
        <v>90</v>
      </c>
      <c r="D1132" t="s">
        <v>37</v>
      </c>
      <c r="E1132" t="s">
        <v>38</v>
      </c>
      <c r="F1132" t="str">
        <f>"0001234"</f>
        <v>0001234</v>
      </c>
      <c r="G1132">
        <v>1</v>
      </c>
      <c r="H1132" t="str">
        <f>"00000000"</f>
        <v>00000000</v>
      </c>
      <c r="I1132" t="s">
        <v>39</v>
      </c>
      <c r="J1132"/>
      <c r="K1132">
        <v>423.73</v>
      </c>
      <c r="L1132">
        <v>0.0</v>
      </c>
      <c r="M1132"/>
      <c r="N1132"/>
      <c r="O1132">
        <v>76.27</v>
      </c>
      <c r="P1132">
        <v>0.0</v>
      </c>
      <c r="Q1132">
        <v>500.0</v>
      </c>
      <c r="R1132"/>
      <c r="S1132"/>
      <c r="T1132"/>
      <c r="U1132"/>
      <c r="V1132"/>
      <c r="W1132">
        <v>18</v>
      </c>
    </row>
    <row r="1133" spans="1:23">
      <c r="A1133"/>
      <c r="B1133" t="s">
        <v>90</v>
      </c>
      <c r="C1133" t="s">
        <v>90</v>
      </c>
      <c r="D1133" t="s">
        <v>37</v>
      </c>
      <c r="E1133" t="s">
        <v>38</v>
      </c>
      <c r="F1133" t="str">
        <f>"0001235"</f>
        <v>0001235</v>
      </c>
      <c r="G1133">
        <v>1</v>
      </c>
      <c r="H1133" t="str">
        <f>"00000000"</f>
        <v>00000000</v>
      </c>
      <c r="I1133" t="s">
        <v>39</v>
      </c>
      <c r="J1133"/>
      <c r="K1133">
        <v>355.93</v>
      </c>
      <c r="L1133">
        <v>0.0</v>
      </c>
      <c r="M1133"/>
      <c r="N1133"/>
      <c r="O1133">
        <v>64.07</v>
      </c>
      <c r="P1133">
        <v>0.0</v>
      </c>
      <c r="Q1133">
        <v>420.0</v>
      </c>
      <c r="R1133"/>
      <c r="S1133"/>
      <c r="T1133"/>
      <c r="U1133"/>
      <c r="V1133"/>
      <c r="W1133">
        <v>18</v>
      </c>
    </row>
    <row r="1134" spans="1:23">
      <c r="A1134"/>
      <c r="B1134" t="s">
        <v>90</v>
      </c>
      <c r="C1134" t="s">
        <v>90</v>
      </c>
      <c r="D1134" t="s">
        <v>37</v>
      </c>
      <c r="E1134" t="s">
        <v>38</v>
      </c>
      <c r="F1134" t="str">
        <f>"0001236"</f>
        <v>0001236</v>
      </c>
      <c r="G1134">
        <v>1</v>
      </c>
      <c r="H1134" t="str">
        <f>"00000000"</f>
        <v>00000000</v>
      </c>
      <c r="I1134" t="s">
        <v>39</v>
      </c>
      <c r="J1134"/>
      <c r="K1134">
        <v>423.73</v>
      </c>
      <c r="L1134">
        <v>0.0</v>
      </c>
      <c r="M1134"/>
      <c r="N1134"/>
      <c r="O1134">
        <v>76.27</v>
      </c>
      <c r="P1134">
        <v>0.0</v>
      </c>
      <c r="Q1134">
        <v>500.0</v>
      </c>
      <c r="R1134"/>
      <c r="S1134"/>
      <c r="T1134"/>
      <c r="U1134"/>
      <c r="V1134"/>
      <c r="W1134">
        <v>18</v>
      </c>
    </row>
    <row r="1135" spans="1:23">
      <c r="A1135"/>
      <c r="B1135" t="s">
        <v>90</v>
      </c>
      <c r="C1135" t="s">
        <v>90</v>
      </c>
      <c r="D1135" t="s">
        <v>37</v>
      </c>
      <c r="E1135" t="s">
        <v>38</v>
      </c>
      <c r="F1135" t="str">
        <f>"0001237"</f>
        <v>0001237</v>
      </c>
      <c r="G1135">
        <v>1</v>
      </c>
      <c r="H1135" t="str">
        <f>"00000000"</f>
        <v>00000000</v>
      </c>
      <c r="I1135" t="s">
        <v>39</v>
      </c>
      <c r="J1135"/>
      <c r="K1135">
        <v>296.61</v>
      </c>
      <c r="L1135">
        <v>0.0</v>
      </c>
      <c r="M1135"/>
      <c r="N1135"/>
      <c r="O1135">
        <v>53.39</v>
      </c>
      <c r="P1135">
        <v>0.0</v>
      </c>
      <c r="Q1135">
        <v>350.0</v>
      </c>
      <c r="R1135"/>
      <c r="S1135"/>
      <c r="T1135"/>
      <c r="U1135"/>
      <c r="V1135"/>
      <c r="W1135">
        <v>18</v>
      </c>
    </row>
    <row r="1136" spans="1:23">
      <c r="A1136"/>
      <c r="B1136" t="s">
        <v>90</v>
      </c>
      <c r="C1136" t="s">
        <v>90</v>
      </c>
      <c r="D1136" t="s">
        <v>37</v>
      </c>
      <c r="E1136" t="s">
        <v>38</v>
      </c>
      <c r="F1136" t="str">
        <f>"0001238"</f>
        <v>0001238</v>
      </c>
      <c r="G1136">
        <v>1</v>
      </c>
      <c r="H1136" t="str">
        <f>"00000000"</f>
        <v>00000000</v>
      </c>
      <c r="I1136" t="s">
        <v>39</v>
      </c>
      <c r="J1136"/>
      <c r="K1136">
        <v>296.61</v>
      </c>
      <c r="L1136">
        <v>0.0</v>
      </c>
      <c r="M1136"/>
      <c r="N1136"/>
      <c r="O1136">
        <v>53.39</v>
      </c>
      <c r="P1136">
        <v>0.0</v>
      </c>
      <c r="Q1136">
        <v>350.0</v>
      </c>
      <c r="R1136"/>
      <c r="S1136"/>
      <c r="T1136"/>
      <c r="U1136"/>
      <c r="V1136"/>
      <c r="W1136">
        <v>18</v>
      </c>
    </row>
    <row r="1137" spans="1:23">
      <c r="A1137"/>
      <c r="B1137" t="s">
        <v>90</v>
      </c>
      <c r="C1137" t="s">
        <v>90</v>
      </c>
      <c r="D1137" t="s">
        <v>37</v>
      </c>
      <c r="E1137" t="s">
        <v>38</v>
      </c>
      <c r="F1137" t="str">
        <f>"0001239"</f>
        <v>0001239</v>
      </c>
      <c r="G1137">
        <v>1</v>
      </c>
      <c r="H1137" t="str">
        <f>"00000000"</f>
        <v>00000000</v>
      </c>
      <c r="I1137" t="s">
        <v>39</v>
      </c>
      <c r="J1137"/>
      <c r="K1137">
        <v>406.78</v>
      </c>
      <c r="L1137">
        <v>0.0</v>
      </c>
      <c r="M1137"/>
      <c r="N1137"/>
      <c r="O1137">
        <v>73.22</v>
      </c>
      <c r="P1137">
        <v>0.0</v>
      </c>
      <c r="Q1137">
        <v>480.0</v>
      </c>
      <c r="R1137"/>
      <c r="S1137"/>
      <c r="T1137"/>
      <c r="U1137"/>
      <c r="V1137"/>
      <c r="W1137">
        <v>18</v>
      </c>
    </row>
    <row r="1138" spans="1:23">
      <c r="A1138"/>
      <c r="B1138" t="s">
        <v>90</v>
      </c>
      <c r="C1138" t="s">
        <v>90</v>
      </c>
      <c r="D1138" t="s">
        <v>37</v>
      </c>
      <c r="E1138" t="s">
        <v>38</v>
      </c>
      <c r="F1138" t="str">
        <f>"0001240"</f>
        <v>0001240</v>
      </c>
      <c r="G1138">
        <v>1</v>
      </c>
      <c r="H1138" t="str">
        <f>"00000000"</f>
        <v>00000000</v>
      </c>
      <c r="I1138" t="s">
        <v>39</v>
      </c>
      <c r="J1138"/>
      <c r="K1138">
        <v>296.61</v>
      </c>
      <c r="L1138">
        <v>0.0</v>
      </c>
      <c r="M1138"/>
      <c r="N1138"/>
      <c r="O1138">
        <v>53.39</v>
      </c>
      <c r="P1138">
        <v>0.0</v>
      </c>
      <c r="Q1138">
        <v>350.0</v>
      </c>
      <c r="R1138"/>
      <c r="S1138"/>
      <c r="T1138"/>
      <c r="U1138"/>
      <c r="V1138"/>
      <c r="W1138">
        <v>18</v>
      </c>
    </row>
    <row r="1139" spans="1:23">
      <c r="A1139"/>
      <c r="B1139" t="s">
        <v>90</v>
      </c>
      <c r="C1139" t="s">
        <v>90</v>
      </c>
      <c r="D1139" t="s">
        <v>37</v>
      </c>
      <c r="E1139" t="s">
        <v>38</v>
      </c>
      <c r="F1139" t="str">
        <f>"0001241"</f>
        <v>0001241</v>
      </c>
      <c r="G1139">
        <v>1</v>
      </c>
      <c r="H1139" t="str">
        <f>"00000000"</f>
        <v>00000000</v>
      </c>
      <c r="I1139" t="s">
        <v>39</v>
      </c>
      <c r="J1139"/>
      <c r="K1139">
        <v>457.63</v>
      </c>
      <c r="L1139">
        <v>0.0</v>
      </c>
      <c r="M1139"/>
      <c r="N1139"/>
      <c r="O1139">
        <v>82.37</v>
      </c>
      <c r="P1139">
        <v>0.0</v>
      </c>
      <c r="Q1139">
        <v>540.0</v>
      </c>
      <c r="R1139"/>
      <c r="S1139"/>
      <c r="T1139"/>
      <c r="U1139"/>
      <c r="V1139"/>
      <c r="W1139">
        <v>18</v>
      </c>
    </row>
    <row r="1140" spans="1:23">
      <c r="A1140"/>
      <c r="B1140" t="s">
        <v>90</v>
      </c>
      <c r="C1140" t="s">
        <v>90</v>
      </c>
      <c r="D1140" t="s">
        <v>37</v>
      </c>
      <c r="E1140" t="s">
        <v>38</v>
      </c>
      <c r="F1140" t="str">
        <f>"0001242"</f>
        <v>0001242</v>
      </c>
      <c r="G1140">
        <v>1</v>
      </c>
      <c r="H1140" t="str">
        <f>"00000000"</f>
        <v>00000000</v>
      </c>
      <c r="I1140" t="s">
        <v>39</v>
      </c>
      <c r="J1140"/>
      <c r="K1140">
        <v>381.36</v>
      </c>
      <c r="L1140">
        <v>0.0</v>
      </c>
      <c r="M1140"/>
      <c r="N1140"/>
      <c r="O1140">
        <v>68.64</v>
      </c>
      <c r="P1140">
        <v>0.0</v>
      </c>
      <c r="Q1140">
        <v>450.0</v>
      </c>
      <c r="R1140"/>
      <c r="S1140"/>
      <c r="T1140"/>
      <c r="U1140"/>
      <c r="V1140"/>
      <c r="W1140">
        <v>18</v>
      </c>
    </row>
    <row r="1141" spans="1:23">
      <c r="A1141"/>
      <c r="B1141" t="s">
        <v>90</v>
      </c>
      <c r="C1141" t="s">
        <v>90</v>
      </c>
      <c r="D1141" t="s">
        <v>37</v>
      </c>
      <c r="E1141" t="s">
        <v>38</v>
      </c>
      <c r="F1141" t="str">
        <f>"0001243"</f>
        <v>0001243</v>
      </c>
      <c r="G1141">
        <v>1</v>
      </c>
      <c r="H1141" t="str">
        <f>"00000000"</f>
        <v>00000000</v>
      </c>
      <c r="I1141" t="s">
        <v>39</v>
      </c>
      <c r="J1141"/>
      <c r="K1141">
        <v>330.51</v>
      </c>
      <c r="L1141">
        <v>0.0</v>
      </c>
      <c r="M1141"/>
      <c r="N1141"/>
      <c r="O1141">
        <v>59.49</v>
      </c>
      <c r="P1141">
        <v>0.0</v>
      </c>
      <c r="Q1141">
        <v>390.0</v>
      </c>
      <c r="R1141"/>
      <c r="S1141"/>
      <c r="T1141"/>
      <c r="U1141"/>
      <c r="V1141"/>
      <c r="W1141">
        <v>18</v>
      </c>
    </row>
    <row r="1142" spans="1:23">
      <c r="A1142"/>
      <c r="B1142" t="s">
        <v>90</v>
      </c>
      <c r="C1142" t="s">
        <v>90</v>
      </c>
      <c r="D1142" t="s">
        <v>37</v>
      </c>
      <c r="E1142" t="s">
        <v>38</v>
      </c>
      <c r="F1142" t="str">
        <f>"0001244"</f>
        <v>0001244</v>
      </c>
      <c r="G1142">
        <v>1</v>
      </c>
      <c r="H1142" t="str">
        <f>"00000000"</f>
        <v>00000000</v>
      </c>
      <c r="I1142" t="s">
        <v>39</v>
      </c>
      <c r="J1142"/>
      <c r="K1142">
        <v>381.36</v>
      </c>
      <c r="L1142">
        <v>0.0</v>
      </c>
      <c r="M1142"/>
      <c r="N1142"/>
      <c r="O1142">
        <v>68.64</v>
      </c>
      <c r="P1142">
        <v>0.0</v>
      </c>
      <c r="Q1142">
        <v>450.0</v>
      </c>
      <c r="R1142"/>
      <c r="S1142"/>
      <c r="T1142"/>
      <c r="U1142"/>
      <c r="V1142"/>
      <c r="W1142">
        <v>18</v>
      </c>
    </row>
    <row r="1143" spans="1:23">
      <c r="A1143"/>
      <c r="B1143" t="s">
        <v>90</v>
      </c>
      <c r="C1143" t="s">
        <v>90</v>
      </c>
      <c r="D1143" t="s">
        <v>37</v>
      </c>
      <c r="E1143" t="s">
        <v>38</v>
      </c>
      <c r="F1143" t="str">
        <f>"0001245"</f>
        <v>0001245</v>
      </c>
      <c r="G1143">
        <v>1</v>
      </c>
      <c r="H1143" t="str">
        <f>"00000000"</f>
        <v>00000000</v>
      </c>
      <c r="I1143" t="s">
        <v>39</v>
      </c>
      <c r="J1143"/>
      <c r="K1143">
        <v>296.61</v>
      </c>
      <c r="L1143">
        <v>0.0</v>
      </c>
      <c r="M1143"/>
      <c r="N1143"/>
      <c r="O1143">
        <v>53.39</v>
      </c>
      <c r="P1143">
        <v>0.0</v>
      </c>
      <c r="Q1143">
        <v>350.0</v>
      </c>
      <c r="R1143"/>
      <c r="S1143"/>
      <c r="T1143"/>
      <c r="U1143"/>
      <c r="V1143"/>
      <c r="W1143">
        <v>18</v>
      </c>
    </row>
    <row r="1144" spans="1:23">
      <c r="A1144"/>
      <c r="B1144" t="s">
        <v>90</v>
      </c>
      <c r="C1144" t="s">
        <v>90</v>
      </c>
      <c r="D1144" t="s">
        <v>37</v>
      </c>
      <c r="E1144" t="s">
        <v>38</v>
      </c>
      <c r="F1144" t="str">
        <f>"0001246"</f>
        <v>0001246</v>
      </c>
      <c r="G1144">
        <v>1</v>
      </c>
      <c r="H1144" t="str">
        <f>"00000000"</f>
        <v>00000000</v>
      </c>
      <c r="I1144" t="s">
        <v>39</v>
      </c>
      <c r="J1144"/>
      <c r="K1144">
        <v>423.73</v>
      </c>
      <c r="L1144">
        <v>0.0</v>
      </c>
      <c r="M1144"/>
      <c r="N1144"/>
      <c r="O1144">
        <v>76.27</v>
      </c>
      <c r="P1144">
        <v>0.0</v>
      </c>
      <c r="Q1144">
        <v>500.0</v>
      </c>
      <c r="R1144"/>
      <c r="S1144"/>
      <c r="T1144"/>
      <c r="U1144"/>
      <c r="V1144"/>
      <c r="W1144">
        <v>18</v>
      </c>
    </row>
    <row r="1145" spans="1:23">
      <c r="A1145"/>
      <c r="B1145" t="s">
        <v>90</v>
      </c>
      <c r="C1145" t="s">
        <v>90</v>
      </c>
      <c r="D1145" t="s">
        <v>37</v>
      </c>
      <c r="E1145" t="s">
        <v>38</v>
      </c>
      <c r="F1145" t="str">
        <f>"0001247"</f>
        <v>0001247</v>
      </c>
      <c r="G1145">
        <v>1</v>
      </c>
      <c r="H1145" t="str">
        <f>"00000000"</f>
        <v>00000000</v>
      </c>
      <c r="I1145" t="s">
        <v>39</v>
      </c>
      <c r="J1145"/>
      <c r="K1145">
        <v>317.8</v>
      </c>
      <c r="L1145">
        <v>0.0</v>
      </c>
      <c r="M1145"/>
      <c r="N1145"/>
      <c r="O1145">
        <v>57.2</v>
      </c>
      <c r="P1145">
        <v>0.0</v>
      </c>
      <c r="Q1145">
        <v>375.0</v>
      </c>
      <c r="R1145"/>
      <c r="S1145"/>
      <c r="T1145"/>
      <c r="U1145"/>
      <c r="V1145"/>
      <c r="W1145">
        <v>18</v>
      </c>
    </row>
    <row r="1146" spans="1:23">
      <c r="A1146"/>
      <c r="B1146" t="s">
        <v>90</v>
      </c>
      <c r="C1146" t="s">
        <v>90</v>
      </c>
      <c r="D1146" t="s">
        <v>37</v>
      </c>
      <c r="E1146" t="s">
        <v>38</v>
      </c>
      <c r="F1146" t="str">
        <f>"0001248"</f>
        <v>0001248</v>
      </c>
      <c r="G1146">
        <v>1</v>
      </c>
      <c r="H1146" t="str">
        <f>"00000000"</f>
        <v>00000000</v>
      </c>
      <c r="I1146" t="s">
        <v>39</v>
      </c>
      <c r="J1146"/>
      <c r="K1146">
        <v>296.61</v>
      </c>
      <c r="L1146">
        <v>0.0</v>
      </c>
      <c r="M1146"/>
      <c r="N1146"/>
      <c r="O1146">
        <v>53.39</v>
      </c>
      <c r="P1146">
        <v>0.0</v>
      </c>
      <c r="Q1146">
        <v>350.0</v>
      </c>
      <c r="R1146"/>
      <c r="S1146"/>
      <c r="T1146"/>
      <c r="U1146"/>
      <c r="V1146"/>
      <c r="W1146">
        <v>18</v>
      </c>
    </row>
    <row r="1147" spans="1:23">
      <c r="A1147"/>
      <c r="B1147" t="s">
        <v>90</v>
      </c>
      <c r="C1147" t="s">
        <v>90</v>
      </c>
      <c r="D1147" t="s">
        <v>37</v>
      </c>
      <c r="E1147" t="s">
        <v>38</v>
      </c>
      <c r="F1147" t="str">
        <f>"0001249"</f>
        <v>0001249</v>
      </c>
      <c r="G1147">
        <v>1</v>
      </c>
      <c r="H1147" t="str">
        <f>"00000000"</f>
        <v>00000000</v>
      </c>
      <c r="I1147" t="s">
        <v>39</v>
      </c>
      <c r="J1147"/>
      <c r="K1147">
        <v>296.61</v>
      </c>
      <c r="L1147">
        <v>0.0</v>
      </c>
      <c r="M1147"/>
      <c r="N1147"/>
      <c r="O1147">
        <v>53.39</v>
      </c>
      <c r="P1147">
        <v>0.0</v>
      </c>
      <c r="Q1147">
        <v>350.0</v>
      </c>
      <c r="R1147"/>
      <c r="S1147"/>
      <c r="T1147"/>
      <c r="U1147"/>
      <c r="V1147"/>
      <c r="W1147">
        <v>18</v>
      </c>
    </row>
    <row r="1148" spans="1:23">
      <c r="A1148"/>
      <c r="B1148" t="s">
        <v>90</v>
      </c>
      <c r="C1148" t="s">
        <v>90</v>
      </c>
      <c r="D1148" t="s">
        <v>37</v>
      </c>
      <c r="E1148" t="s">
        <v>38</v>
      </c>
      <c r="F1148" t="str">
        <f>"0001250"</f>
        <v>0001250</v>
      </c>
      <c r="G1148">
        <v>1</v>
      </c>
      <c r="H1148" t="str">
        <f>"00000000"</f>
        <v>00000000</v>
      </c>
      <c r="I1148" t="s">
        <v>39</v>
      </c>
      <c r="J1148"/>
      <c r="K1148">
        <v>305.08</v>
      </c>
      <c r="L1148">
        <v>0.0</v>
      </c>
      <c r="M1148"/>
      <c r="N1148"/>
      <c r="O1148">
        <v>54.92</v>
      </c>
      <c r="P1148">
        <v>0.0</v>
      </c>
      <c r="Q1148">
        <v>360.0</v>
      </c>
      <c r="R1148"/>
      <c r="S1148"/>
      <c r="T1148"/>
      <c r="U1148"/>
      <c r="V1148"/>
      <c r="W1148">
        <v>18</v>
      </c>
    </row>
    <row r="1149" spans="1:23">
      <c r="A1149"/>
      <c r="B1149" t="s">
        <v>90</v>
      </c>
      <c r="C1149" t="s">
        <v>90</v>
      </c>
      <c r="D1149" t="s">
        <v>37</v>
      </c>
      <c r="E1149" t="s">
        <v>38</v>
      </c>
      <c r="F1149" t="str">
        <f>"0001251"</f>
        <v>0001251</v>
      </c>
      <c r="G1149">
        <v>1</v>
      </c>
      <c r="H1149" t="str">
        <f>"00000000"</f>
        <v>00000000</v>
      </c>
      <c r="I1149" t="s">
        <v>39</v>
      </c>
      <c r="J1149"/>
      <c r="K1149">
        <v>237.29</v>
      </c>
      <c r="L1149">
        <v>0.0</v>
      </c>
      <c r="M1149"/>
      <c r="N1149"/>
      <c r="O1149">
        <v>42.71</v>
      </c>
      <c r="P1149">
        <v>0.0</v>
      </c>
      <c r="Q1149">
        <v>280.0</v>
      </c>
      <c r="R1149"/>
      <c r="S1149"/>
      <c r="T1149"/>
      <c r="U1149"/>
      <c r="V1149"/>
      <c r="W1149">
        <v>18</v>
      </c>
    </row>
    <row r="1150" spans="1:23">
      <c r="A1150"/>
      <c r="B1150" t="s">
        <v>90</v>
      </c>
      <c r="C1150" t="s">
        <v>90</v>
      </c>
      <c r="D1150" t="s">
        <v>37</v>
      </c>
      <c r="E1150" t="s">
        <v>38</v>
      </c>
      <c r="F1150" t="str">
        <f>"0001252"</f>
        <v>0001252</v>
      </c>
      <c r="G1150">
        <v>1</v>
      </c>
      <c r="H1150" t="str">
        <f>"00000000"</f>
        <v>00000000</v>
      </c>
      <c r="I1150" t="s">
        <v>39</v>
      </c>
      <c r="J1150"/>
      <c r="K1150">
        <v>338.98</v>
      </c>
      <c r="L1150">
        <v>0.0</v>
      </c>
      <c r="M1150"/>
      <c r="N1150"/>
      <c r="O1150">
        <v>61.02</v>
      </c>
      <c r="P1150">
        <v>0.0</v>
      </c>
      <c r="Q1150">
        <v>400.0</v>
      </c>
      <c r="R1150"/>
      <c r="S1150"/>
      <c r="T1150"/>
      <c r="U1150"/>
      <c r="V1150"/>
      <c r="W1150">
        <v>18</v>
      </c>
    </row>
    <row r="1151" spans="1:23">
      <c r="A1151"/>
      <c r="B1151" t="s">
        <v>90</v>
      </c>
      <c r="C1151" t="s">
        <v>90</v>
      </c>
      <c r="D1151" t="s">
        <v>37</v>
      </c>
      <c r="E1151" t="s">
        <v>38</v>
      </c>
      <c r="F1151" t="str">
        <f>"0001253"</f>
        <v>0001253</v>
      </c>
      <c r="G1151">
        <v>1</v>
      </c>
      <c r="H1151" t="str">
        <f>"00000000"</f>
        <v>00000000</v>
      </c>
      <c r="I1151" t="s">
        <v>39</v>
      </c>
      <c r="J1151"/>
      <c r="K1151">
        <v>338.98</v>
      </c>
      <c r="L1151">
        <v>0.0</v>
      </c>
      <c r="M1151"/>
      <c r="N1151"/>
      <c r="O1151">
        <v>61.02</v>
      </c>
      <c r="P1151">
        <v>0.0</v>
      </c>
      <c r="Q1151">
        <v>400.0</v>
      </c>
      <c r="R1151"/>
      <c r="S1151"/>
      <c r="T1151"/>
      <c r="U1151"/>
      <c r="V1151"/>
      <c r="W1151">
        <v>18</v>
      </c>
    </row>
    <row r="1152" spans="1:23">
      <c r="A1152"/>
      <c r="B1152" t="s">
        <v>90</v>
      </c>
      <c r="C1152" t="s">
        <v>90</v>
      </c>
      <c r="D1152" t="s">
        <v>37</v>
      </c>
      <c r="E1152" t="s">
        <v>38</v>
      </c>
      <c r="F1152" t="str">
        <f>"0001254"</f>
        <v>0001254</v>
      </c>
      <c r="G1152">
        <v>1</v>
      </c>
      <c r="H1152" t="str">
        <f>"00000000"</f>
        <v>00000000</v>
      </c>
      <c r="I1152" t="s">
        <v>39</v>
      </c>
      <c r="J1152"/>
      <c r="K1152">
        <v>372.88</v>
      </c>
      <c r="L1152">
        <v>0.0</v>
      </c>
      <c r="M1152"/>
      <c r="N1152"/>
      <c r="O1152">
        <v>67.12</v>
      </c>
      <c r="P1152">
        <v>0.0</v>
      </c>
      <c r="Q1152">
        <v>440.0</v>
      </c>
      <c r="R1152"/>
      <c r="S1152"/>
      <c r="T1152"/>
      <c r="U1152"/>
      <c r="V1152"/>
      <c r="W1152">
        <v>18</v>
      </c>
    </row>
    <row r="1153" spans="1:23">
      <c r="A1153"/>
      <c r="B1153" t="s">
        <v>90</v>
      </c>
      <c r="C1153" t="s">
        <v>90</v>
      </c>
      <c r="D1153" t="s">
        <v>37</v>
      </c>
      <c r="E1153" t="s">
        <v>38</v>
      </c>
      <c r="F1153" t="str">
        <f>"0001255"</f>
        <v>0001255</v>
      </c>
      <c r="G1153">
        <v>1</v>
      </c>
      <c r="H1153" t="str">
        <f>"00000000"</f>
        <v>00000000</v>
      </c>
      <c r="I1153" t="s">
        <v>39</v>
      </c>
      <c r="J1153"/>
      <c r="K1153">
        <v>423.73</v>
      </c>
      <c r="L1153">
        <v>0.0</v>
      </c>
      <c r="M1153"/>
      <c r="N1153"/>
      <c r="O1153">
        <v>76.27</v>
      </c>
      <c r="P1153">
        <v>0.0</v>
      </c>
      <c r="Q1153">
        <v>500.0</v>
      </c>
      <c r="R1153"/>
      <c r="S1153"/>
      <c r="T1153"/>
      <c r="U1153"/>
      <c r="V1153"/>
      <c r="W1153">
        <v>18</v>
      </c>
    </row>
    <row r="1154" spans="1:23">
      <c r="A1154"/>
      <c r="B1154" t="s">
        <v>90</v>
      </c>
      <c r="C1154" t="s">
        <v>90</v>
      </c>
      <c r="D1154" t="s">
        <v>37</v>
      </c>
      <c r="E1154" t="s">
        <v>38</v>
      </c>
      <c r="F1154" t="str">
        <f>"0001256"</f>
        <v>0001256</v>
      </c>
      <c r="G1154">
        <v>1</v>
      </c>
      <c r="H1154" t="str">
        <f>"00000000"</f>
        <v>00000000</v>
      </c>
      <c r="I1154" t="s">
        <v>39</v>
      </c>
      <c r="J1154"/>
      <c r="K1154">
        <v>279.66</v>
      </c>
      <c r="L1154">
        <v>0.0</v>
      </c>
      <c r="M1154"/>
      <c r="N1154"/>
      <c r="O1154">
        <v>50.34</v>
      </c>
      <c r="P1154">
        <v>0.0</v>
      </c>
      <c r="Q1154">
        <v>330.0</v>
      </c>
      <c r="R1154"/>
      <c r="S1154"/>
      <c r="T1154"/>
      <c r="U1154"/>
      <c r="V1154"/>
      <c r="W1154">
        <v>18</v>
      </c>
    </row>
    <row r="1155" spans="1:23">
      <c r="A1155"/>
      <c r="B1155" t="s">
        <v>90</v>
      </c>
      <c r="C1155" t="s">
        <v>90</v>
      </c>
      <c r="D1155" t="s">
        <v>37</v>
      </c>
      <c r="E1155" t="s">
        <v>38</v>
      </c>
      <c r="F1155" t="str">
        <f>"0001257"</f>
        <v>0001257</v>
      </c>
      <c r="G1155">
        <v>1</v>
      </c>
      <c r="H1155" t="str">
        <f>"00000000"</f>
        <v>00000000</v>
      </c>
      <c r="I1155" t="s">
        <v>39</v>
      </c>
      <c r="J1155"/>
      <c r="K1155">
        <v>305.08</v>
      </c>
      <c r="L1155">
        <v>0.0</v>
      </c>
      <c r="M1155"/>
      <c r="N1155"/>
      <c r="O1155">
        <v>54.92</v>
      </c>
      <c r="P1155">
        <v>0.0</v>
      </c>
      <c r="Q1155">
        <v>360.0</v>
      </c>
      <c r="R1155"/>
      <c r="S1155"/>
      <c r="T1155"/>
      <c r="U1155"/>
      <c r="V1155"/>
      <c r="W1155">
        <v>18</v>
      </c>
    </row>
    <row r="1156" spans="1:23">
      <c r="A1156"/>
      <c r="B1156" t="s">
        <v>90</v>
      </c>
      <c r="C1156" t="s">
        <v>90</v>
      </c>
      <c r="D1156" t="s">
        <v>37</v>
      </c>
      <c r="E1156" t="s">
        <v>38</v>
      </c>
      <c r="F1156" t="str">
        <f>"0001258"</f>
        <v>0001258</v>
      </c>
      <c r="G1156">
        <v>1</v>
      </c>
      <c r="H1156" t="str">
        <f>"00000000"</f>
        <v>00000000</v>
      </c>
      <c r="I1156" t="s">
        <v>39</v>
      </c>
      <c r="J1156"/>
      <c r="K1156">
        <v>381.36</v>
      </c>
      <c r="L1156">
        <v>0.0</v>
      </c>
      <c r="M1156"/>
      <c r="N1156"/>
      <c r="O1156">
        <v>68.64</v>
      </c>
      <c r="P1156">
        <v>0.0</v>
      </c>
      <c r="Q1156">
        <v>450.0</v>
      </c>
      <c r="R1156"/>
      <c r="S1156"/>
      <c r="T1156"/>
      <c r="U1156"/>
      <c r="V1156"/>
      <c r="W1156">
        <v>18</v>
      </c>
    </row>
    <row r="1157" spans="1:23">
      <c r="A1157"/>
      <c r="B1157" t="s">
        <v>90</v>
      </c>
      <c r="C1157" t="s">
        <v>90</v>
      </c>
      <c r="D1157" t="s">
        <v>37</v>
      </c>
      <c r="E1157" t="s">
        <v>38</v>
      </c>
      <c r="F1157" t="str">
        <f>"0001259"</f>
        <v>0001259</v>
      </c>
      <c r="G1157">
        <v>1</v>
      </c>
      <c r="H1157" t="str">
        <f>"00000000"</f>
        <v>00000000</v>
      </c>
      <c r="I1157" t="s">
        <v>39</v>
      </c>
      <c r="J1157"/>
      <c r="K1157">
        <v>296.61</v>
      </c>
      <c r="L1157">
        <v>0.0</v>
      </c>
      <c r="M1157"/>
      <c r="N1157"/>
      <c r="O1157">
        <v>53.39</v>
      </c>
      <c r="P1157">
        <v>0.0</v>
      </c>
      <c r="Q1157">
        <v>350.0</v>
      </c>
      <c r="R1157"/>
      <c r="S1157"/>
      <c r="T1157"/>
      <c r="U1157"/>
      <c r="V1157"/>
      <c r="W1157">
        <v>18</v>
      </c>
    </row>
    <row r="1158" spans="1:23">
      <c r="A1158"/>
      <c r="B1158" t="s">
        <v>90</v>
      </c>
      <c r="C1158" t="s">
        <v>90</v>
      </c>
      <c r="D1158" t="s">
        <v>37</v>
      </c>
      <c r="E1158" t="s">
        <v>38</v>
      </c>
      <c r="F1158" t="str">
        <f>"0001260"</f>
        <v>0001260</v>
      </c>
      <c r="G1158">
        <v>1</v>
      </c>
      <c r="H1158" t="str">
        <f>"00000000"</f>
        <v>00000000</v>
      </c>
      <c r="I1158" t="s">
        <v>39</v>
      </c>
      <c r="J1158"/>
      <c r="K1158">
        <v>389.83</v>
      </c>
      <c r="L1158">
        <v>0.0</v>
      </c>
      <c r="M1158"/>
      <c r="N1158"/>
      <c r="O1158">
        <v>70.17</v>
      </c>
      <c r="P1158">
        <v>0.0</v>
      </c>
      <c r="Q1158">
        <v>460.0</v>
      </c>
      <c r="R1158"/>
      <c r="S1158"/>
      <c r="T1158"/>
      <c r="U1158"/>
      <c r="V1158"/>
      <c r="W1158">
        <v>18</v>
      </c>
    </row>
    <row r="1159" spans="1:23">
      <c r="A1159"/>
      <c r="B1159" t="s">
        <v>90</v>
      </c>
      <c r="C1159" t="s">
        <v>90</v>
      </c>
      <c r="D1159" t="s">
        <v>37</v>
      </c>
      <c r="E1159" t="s">
        <v>38</v>
      </c>
      <c r="F1159" t="str">
        <f>"0001261"</f>
        <v>0001261</v>
      </c>
      <c r="G1159">
        <v>1</v>
      </c>
      <c r="H1159" t="str">
        <f>"00000000"</f>
        <v>00000000</v>
      </c>
      <c r="I1159" t="s">
        <v>39</v>
      </c>
      <c r="J1159"/>
      <c r="K1159">
        <v>381.36</v>
      </c>
      <c r="L1159">
        <v>0.0</v>
      </c>
      <c r="M1159"/>
      <c r="N1159"/>
      <c r="O1159">
        <v>68.64</v>
      </c>
      <c r="P1159">
        <v>0.0</v>
      </c>
      <c r="Q1159">
        <v>450.0</v>
      </c>
      <c r="R1159"/>
      <c r="S1159"/>
      <c r="T1159"/>
      <c r="U1159"/>
      <c r="V1159"/>
      <c r="W1159">
        <v>18</v>
      </c>
    </row>
    <row r="1160" spans="1:23">
      <c r="A1160"/>
      <c r="B1160" t="s">
        <v>90</v>
      </c>
      <c r="C1160" t="s">
        <v>90</v>
      </c>
      <c r="D1160" t="s">
        <v>37</v>
      </c>
      <c r="E1160" t="s">
        <v>38</v>
      </c>
      <c r="F1160" t="str">
        <f>"0001262"</f>
        <v>0001262</v>
      </c>
      <c r="G1160">
        <v>1</v>
      </c>
      <c r="H1160" t="str">
        <f>"00000000"</f>
        <v>00000000</v>
      </c>
      <c r="I1160" t="s">
        <v>39</v>
      </c>
      <c r="J1160"/>
      <c r="K1160">
        <v>338.98</v>
      </c>
      <c r="L1160">
        <v>0.0</v>
      </c>
      <c r="M1160"/>
      <c r="N1160"/>
      <c r="O1160">
        <v>61.02</v>
      </c>
      <c r="P1160">
        <v>0.0</v>
      </c>
      <c r="Q1160">
        <v>400.0</v>
      </c>
      <c r="R1160"/>
      <c r="S1160"/>
      <c r="T1160"/>
      <c r="U1160"/>
      <c r="V1160"/>
      <c r="W1160">
        <v>18</v>
      </c>
    </row>
    <row r="1161" spans="1:23">
      <c r="A1161"/>
      <c r="B1161" t="s">
        <v>90</v>
      </c>
      <c r="C1161" t="s">
        <v>90</v>
      </c>
      <c r="D1161" t="s">
        <v>37</v>
      </c>
      <c r="E1161" t="s">
        <v>38</v>
      </c>
      <c r="F1161" t="str">
        <f>"0001263"</f>
        <v>0001263</v>
      </c>
      <c r="G1161">
        <v>1</v>
      </c>
      <c r="H1161" t="str">
        <f>"00000000"</f>
        <v>00000000</v>
      </c>
      <c r="I1161" t="s">
        <v>39</v>
      </c>
      <c r="J1161"/>
      <c r="K1161">
        <v>423.73</v>
      </c>
      <c r="L1161">
        <v>0.0</v>
      </c>
      <c r="M1161"/>
      <c r="N1161"/>
      <c r="O1161">
        <v>76.27</v>
      </c>
      <c r="P1161">
        <v>0.0</v>
      </c>
      <c r="Q1161">
        <v>500.0</v>
      </c>
      <c r="R1161"/>
      <c r="S1161"/>
      <c r="T1161"/>
      <c r="U1161"/>
      <c r="V1161"/>
      <c r="W1161">
        <v>18</v>
      </c>
    </row>
    <row r="1162" spans="1:23">
      <c r="A1162"/>
      <c r="B1162" t="s">
        <v>90</v>
      </c>
      <c r="C1162" t="s">
        <v>90</v>
      </c>
      <c r="D1162" t="s">
        <v>37</v>
      </c>
      <c r="E1162" t="s">
        <v>38</v>
      </c>
      <c r="F1162" t="str">
        <f>"0001264"</f>
        <v>0001264</v>
      </c>
      <c r="G1162">
        <v>1</v>
      </c>
      <c r="H1162" t="str">
        <f>"00000000"</f>
        <v>00000000</v>
      </c>
      <c r="I1162" t="s">
        <v>39</v>
      </c>
      <c r="J1162"/>
      <c r="K1162">
        <v>381.36</v>
      </c>
      <c r="L1162">
        <v>0.0</v>
      </c>
      <c r="M1162"/>
      <c r="N1162"/>
      <c r="O1162">
        <v>68.64</v>
      </c>
      <c r="P1162">
        <v>0.0</v>
      </c>
      <c r="Q1162">
        <v>450.0</v>
      </c>
      <c r="R1162"/>
      <c r="S1162"/>
      <c r="T1162"/>
      <c r="U1162"/>
      <c r="V1162"/>
      <c r="W1162">
        <v>18</v>
      </c>
    </row>
    <row r="1163" spans="1:23">
      <c r="A1163"/>
      <c r="B1163" t="s">
        <v>90</v>
      </c>
      <c r="C1163" t="s">
        <v>90</v>
      </c>
      <c r="D1163" t="s">
        <v>37</v>
      </c>
      <c r="E1163" t="s">
        <v>38</v>
      </c>
      <c r="F1163" t="str">
        <f>"0001265"</f>
        <v>0001265</v>
      </c>
      <c r="G1163">
        <v>1</v>
      </c>
      <c r="H1163" t="str">
        <f>"00000000"</f>
        <v>00000000</v>
      </c>
      <c r="I1163" t="s">
        <v>39</v>
      </c>
      <c r="J1163"/>
      <c r="K1163">
        <v>389.83</v>
      </c>
      <c r="L1163">
        <v>0.0</v>
      </c>
      <c r="M1163"/>
      <c r="N1163"/>
      <c r="O1163">
        <v>70.17</v>
      </c>
      <c r="P1163">
        <v>0.0</v>
      </c>
      <c r="Q1163">
        <v>460.0</v>
      </c>
      <c r="R1163"/>
      <c r="S1163"/>
      <c r="T1163"/>
      <c r="U1163"/>
      <c r="V1163"/>
      <c r="W1163">
        <v>18</v>
      </c>
    </row>
    <row r="1164" spans="1:23">
      <c r="A1164"/>
      <c r="B1164" t="s">
        <v>90</v>
      </c>
      <c r="C1164" t="s">
        <v>90</v>
      </c>
      <c r="D1164" t="s">
        <v>37</v>
      </c>
      <c r="E1164" t="s">
        <v>38</v>
      </c>
      <c r="F1164" t="str">
        <f>"0001266"</f>
        <v>0001266</v>
      </c>
      <c r="G1164">
        <v>1</v>
      </c>
      <c r="H1164" t="str">
        <f>"00000000"</f>
        <v>00000000</v>
      </c>
      <c r="I1164" t="s">
        <v>39</v>
      </c>
      <c r="J1164"/>
      <c r="K1164">
        <v>338.98</v>
      </c>
      <c r="L1164">
        <v>0.0</v>
      </c>
      <c r="M1164"/>
      <c r="N1164"/>
      <c r="O1164">
        <v>61.02</v>
      </c>
      <c r="P1164">
        <v>0.0</v>
      </c>
      <c r="Q1164">
        <v>400.0</v>
      </c>
      <c r="R1164"/>
      <c r="S1164"/>
      <c r="T1164"/>
      <c r="U1164"/>
      <c r="V1164"/>
      <c r="W1164">
        <v>18</v>
      </c>
    </row>
    <row r="1165" spans="1:23">
      <c r="A1165"/>
      <c r="B1165" t="s">
        <v>90</v>
      </c>
      <c r="C1165" t="s">
        <v>90</v>
      </c>
      <c r="D1165" t="s">
        <v>37</v>
      </c>
      <c r="E1165" t="s">
        <v>38</v>
      </c>
      <c r="F1165" t="str">
        <f>"0001267"</f>
        <v>0001267</v>
      </c>
      <c r="G1165">
        <v>1</v>
      </c>
      <c r="H1165" t="str">
        <f>"00000000"</f>
        <v>00000000</v>
      </c>
      <c r="I1165" t="s">
        <v>39</v>
      </c>
      <c r="J1165"/>
      <c r="K1165">
        <v>423.73</v>
      </c>
      <c r="L1165">
        <v>0.0</v>
      </c>
      <c r="M1165"/>
      <c r="N1165"/>
      <c r="O1165">
        <v>76.27</v>
      </c>
      <c r="P1165">
        <v>0.0</v>
      </c>
      <c r="Q1165">
        <v>500.0</v>
      </c>
      <c r="R1165"/>
      <c r="S1165"/>
      <c r="T1165"/>
      <c r="U1165"/>
      <c r="V1165"/>
      <c r="W1165">
        <v>18</v>
      </c>
    </row>
    <row r="1166" spans="1:23">
      <c r="A1166"/>
      <c r="B1166" t="s">
        <v>90</v>
      </c>
      <c r="C1166" t="s">
        <v>90</v>
      </c>
      <c r="D1166" t="s">
        <v>37</v>
      </c>
      <c r="E1166" t="s">
        <v>38</v>
      </c>
      <c r="F1166" t="str">
        <f>"0001268"</f>
        <v>0001268</v>
      </c>
      <c r="G1166">
        <v>1</v>
      </c>
      <c r="H1166" t="str">
        <f>"00000000"</f>
        <v>00000000</v>
      </c>
      <c r="I1166" t="s">
        <v>39</v>
      </c>
      <c r="J1166"/>
      <c r="K1166">
        <v>338.98</v>
      </c>
      <c r="L1166">
        <v>0.0</v>
      </c>
      <c r="M1166"/>
      <c r="N1166"/>
      <c r="O1166">
        <v>61.02</v>
      </c>
      <c r="P1166">
        <v>0.0</v>
      </c>
      <c r="Q1166">
        <v>400.0</v>
      </c>
      <c r="R1166"/>
      <c r="S1166"/>
      <c r="T1166"/>
      <c r="U1166"/>
      <c r="V1166"/>
      <c r="W1166">
        <v>18</v>
      </c>
    </row>
    <row r="1167" spans="1:23">
      <c r="A1167"/>
      <c r="B1167" t="s">
        <v>90</v>
      </c>
      <c r="C1167" t="s">
        <v>90</v>
      </c>
      <c r="D1167" t="s">
        <v>37</v>
      </c>
      <c r="E1167" t="s">
        <v>38</v>
      </c>
      <c r="F1167" t="str">
        <f>"0001269"</f>
        <v>0001269</v>
      </c>
      <c r="G1167">
        <v>1</v>
      </c>
      <c r="H1167" t="str">
        <f>"00000000"</f>
        <v>00000000</v>
      </c>
      <c r="I1167" t="s">
        <v>39</v>
      </c>
      <c r="J1167"/>
      <c r="K1167">
        <v>381.36</v>
      </c>
      <c r="L1167">
        <v>0.0</v>
      </c>
      <c r="M1167"/>
      <c r="N1167"/>
      <c r="O1167">
        <v>68.64</v>
      </c>
      <c r="P1167">
        <v>0.0</v>
      </c>
      <c r="Q1167">
        <v>450.0</v>
      </c>
      <c r="R1167"/>
      <c r="S1167"/>
      <c r="T1167"/>
      <c r="U1167"/>
      <c r="V1167"/>
      <c r="W1167">
        <v>18</v>
      </c>
    </row>
    <row r="1168" spans="1:23">
      <c r="A1168"/>
      <c r="B1168" t="s">
        <v>90</v>
      </c>
      <c r="C1168" t="s">
        <v>90</v>
      </c>
      <c r="D1168" t="s">
        <v>37</v>
      </c>
      <c r="E1168" t="s">
        <v>38</v>
      </c>
      <c r="F1168" t="str">
        <f>"0001270"</f>
        <v>0001270</v>
      </c>
      <c r="G1168">
        <v>1</v>
      </c>
      <c r="H1168" t="str">
        <f>"00000000"</f>
        <v>00000000</v>
      </c>
      <c r="I1168" t="s">
        <v>39</v>
      </c>
      <c r="J1168"/>
      <c r="K1168">
        <v>338.98</v>
      </c>
      <c r="L1168">
        <v>0.0</v>
      </c>
      <c r="M1168"/>
      <c r="N1168"/>
      <c r="O1168">
        <v>61.02</v>
      </c>
      <c r="P1168">
        <v>0.0</v>
      </c>
      <c r="Q1168">
        <v>400.0</v>
      </c>
      <c r="R1168"/>
      <c r="S1168"/>
      <c r="T1168"/>
      <c r="U1168"/>
      <c r="V1168"/>
      <c r="W1168">
        <v>18</v>
      </c>
    </row>
    <row r="1169" spans="1:23">
      <c r="A1169"/>
      <c r="B1169" t="s">
        <v>90</v>
      </c>
      <c r="C1169" t="s">
        <v>90</v>
      </c>
      <c r="D1169" t="s">
        <v>37</v>
      </c>
      <c r="E1169" t="s">
        <v>38</v>
      </c>
      <c r="F1169" t="str">
        <f>"0001271"</f>
        <v>0001271</v>
      </c>
      <c r="G1169">
        <v>1</v>
      </c>
      <c r="H1169" t="str">
        <f>"00000000"</f>
        <v>00000000</v>
      </c>
      <c r="I1169" t="s">
        <v>39</v>
      </c>
      <c r="J1169"/>
      <c r="K1169">
        <v>296.61</v>
      </c>
      <c r="L1169">
        <v>0.0</v>
      </c>
      <c r="M1169"/>
      <c r="N1169"/>
      <c r="O1169">
        <v>53.39</v>
      </c>
      <c r="P1169">
        <v>0.0</v>
      </c>
      <c r="Q1169">
        <v>350.0</v>
      </c>
      <c r="R1169"/>
      <c r="S1169"/>
      <c r="T1169"/>
      <c r="U1169"/>
      <c r="V1169"/>
      <c r="W1169">
        <v>18</v>
      </c>
    </row>
    <row r="1170" spans="1:23">
      <c r="A1170"/>
      <c r="B1170" t="s">
        <v>90</v>
      </c>
      <c r="C1170" t="s">
        <v>90</v>
      </c>
      <c r="D1170" t="s">
        <v>37</v>
      </c>
      <c r="E1170" t="s">
        <v>38</v>
      </c>
      <c r="F1170" t="str">
        <f>"0001272"</f>
        <v>0001272</v>
      </c>
      <c r="G1170">
        <v>1</v>
      </c>
      <c r="H1170" t="str">
        <f>"00000000"</f>
        <v>00000000</v>
      </c>
      <c r="I1170" t="s">
        <v>39</v>
      </c>
      <c r="J1170"/>
      <c r="K1170">
        <v>389.83</v>
      </c>
      <c r="L1170">
        <v>0.0</v>
      </c>
      <c r="M1170"/>
      <c r="N1170"/>
      <c r="O1170">
        <v>70.17</v>
      </c>
      <c r="P1170">
        <v>0.0</v>
      </c>
      <c r="Q1170">
        <v>460.0</v>
      </c>
      <c r="R1170"/>
      <c r="S1170"/>
      <c r="T1170"/>
      <c r="U1170"/>
      <c r="V1170"/>
      <c r="W1170">
        <v>18</v>
      </c>
    </row>
    <row r="1171" spans="1:23">
      <c r="A1171"/>
      <c r="B1171" t="s">
        <v>91</v>
      </c>
      <c r="C1171" t="s">
        <v>91</v>
      </c>
      <c r="D1171" t="s">
        <v>33</v>
      </c>
      <c r="E1171" t="s">
        <v>34</v>
      </c>
      <c r="F1171" t="str">
        <f>"0000031"</f>
        <v>0000031</v>
      </c>
      <c r="G1171">
        <v>6</v>
      </c>
      <c r="H1171" t="str">
        <f>"20440444394"</f>
        <v>20440444394</v>
      </c>
      <c r="I1171" t="s">
        <v>92</v>
      </c>
      <c r="J1171"/>
      <c r="K1171">
        <v>447.46</v>
      </c>
      <c r="L1171">
        <v>0.0</v>
      </c>
      <c r="M1171"/>
      <c r="N1171"/>
      <c r="O1171">
        <v>80.54</v>
      </c>
      <c r="P1171">
        <v>0.0</v>
      </c>
      <c r="Q1171">
        <v>528.0</v>
      </c>
      <c r="R1171"/>
      <c r="S1171"/>
      <c r="T1171"/>
      <c r="U1171"/>
      <c r="V1171"/>
      <c r="W1171">
        <v>18</v>
      </c>
    </row>
    <row r="1172" spans="1:23">
      <c r="A1172"/>
      <c r="B1172" t="s">
        <v>91</v>
      </c>
      <c r="C1172" t="s">
        <v>91</v>
      </c>
      <c r="D1172" t="s">
        <v>37</v>
      </c>
      <c r="E1172" t="s">
        <v>38</v>
      </c>
      <c r="F1172" t="str">
        <f>"0001273"</f>
        <v>0001273</v>
      </c>
      <c r="G1172">
        <v>1</v>
      </c>
      <c r="H1172" t="str">
        <f>"00000000"</f>
        <v>00000000</v>
      </c>
      <c r="I1172" t="s">
        <v>39</v>
      </c>
      <c r="J1172"/>
      <c r="K1172">
        <v>389.83</v>
      </c>
      <c r="L1172">
        <v>0.0</v>
      </c>
      <c r="M1172"/>
      <c r="N1172"/>
      <c r="O1172">
        <v>70.17</v>
      </c>
      <c r="P1172">
        <v>0.0</v>
      </c>
      <c r="Q1172">
        <v>460.0</v>
      </c>
      <c r="R1172"/>
      <c r="S1172"/>
      <c r="T1172"/>
      <c r="U1172"/>
      <c r="V1172"/>
      <c r="W1172">
        <v>18</v>
      </c>
    </row>
    <row r="1173" spans="1:23">
      <c r="A1173"/>
      <c r="B1173" t="s">
        <v>91</v>
      </c>
      <c r="C1173" t="s">
        <v>91</v>
      </c>
      <c r="D1173" t="s">
        <v>37</v>
      </c>
      <c r="E1173" t="s">
        <v>38</v>
      </c>
      <c r="F1173" t="str">
        <f>"0001274"</f>
        <v>0001274</v>
      </c>
      <c r="G1173">
        <v>1</v>
      </c>
      <c r="H1173" t="str">
        <f>"00000000"</f>
        <v>00000000</v>
      </c>
      <c r="I1173" t="s">
        <v>39</v>
      </c>
      <c r="J1173"/>
      <c r="K1173">
        <v>296.61</v>
      </c>
      <c r="L1173">
        <v>0.0</v>
      </c>
      <c r="M1173"/>
      <c r="N1173"/>
      <c r="O1173">
        <v>53.39</v>
      </c>
      <c r="P1173">
        <v>0.0</v>
      </c>
      <c r="Q1173">
        <v>350.0</v>
      </c>
      <c r="R1173"/>
      <c r="S1173"/>
      <c r="T1173"/>
      <c r="U1173"/>
      <c r="V1173"/>
      <c r="W1173">
        <v>18</v>
      </c>
    </row>
    <row r="1174" spans="1:23">
      <c r="A1174"/>
      <c r="B1174" t="s">
        <v>91</v>
      </c>
      <c r="C1174" t="s">
        <v>91</v>
      </c>
      <c r="D1174" t="s">
        <v>37</v>
      </c>
      <c r="E1174" t="s">
        <v>38</v>
      </c>
      <c r="F1174" t="str">
        <f>"0001275"</f>
        <v>0001275</v>
      </c>
      <c r="G1174">
        <v>1</v>
      </c>
      <c r="H1174" t="str">
        <f>"00000000"</f>
        <v>00000000</v>
      </c>
      <c r="I1174" t="s">
        <v>39</v>
      </c>
      <c r="J1174"/>
      <c r="K1174">
        <v>254.24</v>
      </c>
      <c r="L1174">
        <v>0.0</v>
      </c>
      <c r="M1174"/>
      <c r="N1174"/>
      <c r="O1174">
        <v>45.76</v>
      </c>
      <c r="P1174">
        <v>0.0</v>
      </c>
      <c r="Q1174">
        <v>300.0</v>
      </c>
      <c r="R1174"/>
      <c r="S1174"/>
      <c r="T1174"/>
      <c r="U1174"/>
      <c r="V1174"/>
      <c r="W1174">
        <v>18</v>
      </c>
    </row>
    <row r="1175" spans="1:23">
      <c r="A1175"/>
      <c r="B1175" t="s">
        <v>91</v>
      </c>
      <c r="C1175" t="s">
        <v>91</v>
      </c>
      <c r="D1175" t="s">
        <v>37</v>
      </c>
      <c r="E1175" t="s">
        <v>38</v>
      </c>
      <c r="F1175" t="str">
        <f>"0001276"</f>
        <v>0001276</v>
      </c>
      <c r="G1175">
        <v>1</v>
      </c>
      <c r="H1175" t="str">
        <f>"00000000"</f>
        <v>00000000</v>
      </c>
      <c r="I1175" t="s">
        <v>39</v>
      </c>
      <c r="J1175"/>
      <c r="K1175">
        <v>423.73</v>
      </c>
      <c r="L1175">
        <v>0.0</v>
      </c>
      <c r="M1175"/>
      <c r="N1175"/>
      <c r="O1175">
        <v>76.27</v>
      </c>
      <c r="P1175">
        <v>0.0</v>
      </c>
      <c r="Q1175">
        <v>500.0</v>
      </c>
      <c r="R1175"/>
      <c r="S1175"/>
      <c r="T1175"/>
      <c r="U1175"/>
      <c r="V1175"/>
      <c r="W1175">
        <v>18</v>
      </c>
    </row>
    <row r="1176" spans="1:23">
      <c r="A1176"/>
      <c r="B1176" t="s">
        <v>91</v>
      </c>
      <c r="C1176" t="s">
        <v>91</v>
      </c>
      <c r="D1176" t="s">
        <v>37</v>
      </c>
      <c r="E1176" t="s">
        <v>38</v>
      </c>
      <c r="F1176" t="str">
        <f>"0001277"</f>
        <v>0001277</v>
      </c>
      <c r="G1176">
        <v>1</v>
      </c>
      <c r="H1176" t="str">
        <f>"00000000"</f>
        <v>00000000</v>
      </c>
      <c r="I1176" t="s">
        <v>39</v>
      </c>
      <c r="J1176"/>
      <c r="K1176">
        <v>330.51</v>
      </c>
      <c r="L1176">
        <v>0.0</v>
      </c>
      <c r="M1176"/>
      <c r="N1176"/>
      <c r="O1176">
        <v>59.49</v>
      </c>
      <c r="P1176">
        <v>0.0</v>
      </c>
      <c r="Q1176">
        <v>390.0</v>
      </c>
      <c r="R1176"/>
      <c r="S1176"/>
      <c r="T1176"/>
      <c r="U1176"/>
      <c r="V1176"/>
      <c r="W1176">
        <v>18</v>
      </c>
    </row>
    <row r="1177" spans="1:23">
      <c r="A1177"/>
      <c r="B1177" t="s">
        <v>91</v>
      </c>
      <c r="C1177" t="s">
        <v>91</v>
      </c>
      <c r="D1177" t="s">
        <v>37</v>
      </c>
      <c r="E1177" t="s">
        <v>38</v>
      </c>
      <c r="F1177" t="str">
        <f>"0001278"</f>
        <v>0001278</v>
      </c>
      <c r="G1177">
        <v>1</v>
      </c>
      <c r="H1177" t="str">
        <f>"00000000"</f>
        <v>00000000</v>
      </c>
      <c r="I1177" t="s">
        <v>39</v>
      </c>
      <c r="J1177"/>
      <c r="K1177">
        <v>317.8</v>
      </c>
      <c r="L1177">
        <v>0.0</v>
      </c>
      <c r="M1177"/>
      <c r="N1177"/>
      <c r="O1177">
        <v>57.2</v>
      </c>
      <c r="P1177">
        <v>0.0</v>
      </c>
      <c r="Q1177">
        <v>375.0</v>
      </c>
      <c r="R1177"/>
      <c r="S1177"/>
      <c r="T1177"/>
      <c r="U1177"/>
      <c r="V1177"/>
      <c r="W1177">
        <v>18</v>
      </c>
    </row>
    <row r="1178" spans="1:23">
      <c r="A1178"/>
      <c r="B1178" t="s">
        <v>91</v>
      </c>
      <c r="C1178" t="s">
        <v>91</v>
      </c>
      <c r="D1178" t="s">
        <v>37</v>
      </c>
      <c r="E1178" t="s">
        <v>38</v>
      </c>
      <c r="F1178" t="str">
        <f>"0001279"</f>
        <v>0001279</v>
      </c>
      <c r="G1178">
        <v>1</v>
      </c>
      <c r="H1178" t="str">
        <f>"00000000"</f>
        <v>00000000</v>
      </c>
      <c r="I1178" t="s">
        <v>39</v>
      </c>
      <c r="J1178"/>
      <c r="K1178">
        <v>296.61</v>
      </c>
      <c r="L1178">
        <v>0.0</v>
      </c>
      <c r="M1178"/>
      <c r="N1178"/>
      <c r="O1178">
        <v>53.39</v>
      </c>
      <c r="P1178">
        <v>0.0</v>
      </c>
      <c r="Q1178">
        <v>350.0</v>
      </c>
      <c r="R1178"/>
      <c r="S1178"/>
      <c r="T1178"/>
      <c r="U1178"/>
      <c r="V1178"/>
      <c r="W1178">
        <v>18</v>
      </c>
    </row>
    <row r="1179" spans="1:23">
      <c r="A1179"/>
      <c r="B1179" t="s">
        <v>91</v>
      </c>
      <c r="C1179" t="s">
        <v>91</v>
      </c>
      <c r="D1179" t="s">
        <v>37</v>
      </c>
      <c r="E1179" t="s">
        <v>38</v>
      </c>
      <c r="F1179" t="str">
        <f>"0001280"</f>
        <v>0001280</v>
      </c>
      <c r="G1179">
        <v>1</v>
      </c>
      <c r="H1179" t="str">
        <f>"00000000"</f>
        <v>00000000</v>
      </c>
      <c r="I1179" t="s">
        <v>39</v>
      </c>
      <c r="J1179"/>
      <c r="K1179">
        <v>381.36</v>
      </c>
      <c r="L1179">
        <v>0.0</v>
      </c>
      <c r="M1179"/>
      <c r="N1179"/>
      <c r="O1179">
        <v>68.64</v>
      </c>
      <c r="P1179">
        <v>0.0</v>
      </c>
      <c r="Q1179">
        <v>450.0</v>
      </c>
      <c r="R1179"/>
      <c r="S1179"/>
      <c r="T1179"/>
      <c r="U1179"/>
      <c r="V1179"/>
      <c r="W1179">
        <v>18</v>
      </c>
    </row>
    <row r="1180" spans="1:23">
      <c r="A1180"/>
      <c r="B1180" t="s">
        <v>91</v>
      </c>
      <c r="C1180" t="s">
        <v>91</v>
      </c>
      <c r="D1180" t="s">
        <v>37</v>
      </c>
      <c r="E1180" t="s">
        <v>38</v>
      </c>
      <c r="F1180" t="str">
        <f>"0001281"</f>
        <v>0001281</v>
      </c>
      <c r="G1180">
        <v>1</v>
      </c>
      <c r="H1180" t="str">
        <f>"00000000"</f>
        <v>00000000</v>
      </c>
      <c r="I1180" t="s">
        <v>39</v>
      </c>
      <c r="J1180"/>
      <c r="K1180">
        <v>381.36</v>
      </c>
      <c r="L1180">
        <v>0.0</v>
      </c>
      <c r="M1180"/>
      <c r="N1180"/>
      <c r="O1180">
        <v>68.64</v>
      </c>
      <c r="P1180">
        <v>0.0</v>
      </c>
      <c r="Q1180">
        <v>450.0</v>
      </c>
      <c r="R1180"/>
      <c r="S1180"/>
      <c r="T1180"/>
      <c r="U1180"/>
      <c r="V1180"/>
      <c r="W1180">
        <v>18</v>
      </c>
    </row>
    <row r="1181" spans="1:23">
      <c r="A1181"/>
      <c r="B1181" t="s">
        <v>91</v>
      </c>
      <c r="C1181" t="s">
        <v>91</v>
      </c>
      <c r="D1181" t="s">
        <v>37</v>
      </c>
      <c r="E1181" t="s">
        <v>38</v>
      </c>
      <c r="F1181" t="str">
        <f>"0001282"</f>
        <v>0001282</v>
      </c>
      <c r="G1181">
        <v>1</v>
      </c>
      <c r="H1181" t="str">
        <f>"00000000"</f>
        <v>00000000</v>
      </c>
      <c r="I1181" t="s">
        <v>39</v>
      </c>
      <c r="J1181"/>
      <c r="K1181">
        <v>296.61</v>
      </c>
      <c r="L1181">
        <v>0.0</v>
      </c>
      <c r="M1181"/>
      <c r="N1181"/>
      <c r="O1181">
        <v>53.39</v>
      </c>
      <c r="P1181">
        <v>0.0</v>
      </c>
      <c r="Q1181">
        <v>350.0</v>
      </c>
      <c r="R1181"/>
      <c r="S1181"/>
      <c r="T1181"/>
      <c r="U1181"/>
      <c r="V1181"/>
      <c r="W1181">
        <v>18</v>
      </c>
    </row>
    <row r="1182" spans="1:23">
      <c r="A1182"/>
      <c r="B1182" t="s">
        <v>91</v>
      </c>
      <c r="C1182" t="s">
        <v>91</v>
      </c>
      <c r="D1182" t="s">
        <v>37</v>
      </c>
      <c r="E1182" t="s">
        <v>38</v>
      </c>
      <c r="F1182" t="str">
        <f>"0001283"</f>
        <v>0001283</v>
      </c>
      <c r="G1182">
        <v>1</v>
      </c>
      <c r="H1182" t="str">
        <f>"00000000"</f>
        <v>00000000</v>
      </c>
      <c r="I1182" t="s">
        <v>39</v>
      </c>
      <c r="J1182"/>
      <c r="K1182">
        <v>338.98</v>
      </c>
      <c r="L1182">
        <v>0.0</v>
      </c>
      <c r="M1182"/>
      <c r="N1182"/>
      <c r="O1182">
        <v>61.02</v>
      </c>
      <c r="P1182">
        <v>0.0</v>
      </c>
      <c r="Q1182">
        <v>400.0</v>
      </c>
      <c r="R1182"/>
      <c r="S1182"/>
      <c r="T1182"/>
      <c r="U1182"/>
      <c r="V1182"/>
      <c r="W1182">
        <v>18</v>
      </c>
    </row>
    <row r="1183" spans="1:23">
      <c r="A1183"/>
      <c r="B1183" t="s">
        <v>91</v>
      </c>
      <c r="C1183" t="s">
        <v>91</v>
      </c>
      <c r="D1183" t="s">
        <v>37</v>
      </c>
      <c r="E1183" t="s">
        <v>38</v>
      </c>
      <c r="F1183" t="str">
        <f>"0001284"</f>
        <v>0001284</v>
      </c>
      <c r="G1183">
        <v>1</v>
      </c>
      <c r="H1183" t="str">
        <f>"00000000"</f>
        <v>00000000</v>
      </c>
      <c r="I1183" t="s">
        <v>39</v>
      </c>
      <c r="J1183"/>
      <c r="K1183">
        <v>296.61</v>
      </c>
      <c r="L1183">
        <v>0.0</v>
      </c>
      <c r="M1183"/>
      <c r="N1183"/>
      <c r="O1183">
        <v>53.39</v>
      </c>
      <c r="P1183">
        <v>0.0</v>
      </c>
      <c r="Q1183">
        <v>350.0</v>
      </c>
      <c r="R1183"/>
      <c r="S1183"/>
      <c r="T1183"/>
      <c r="U1183"/>
      <c r="V1183"/>
      <c r="W1183">
        <v>18</v>
      </c>
    </row>
    <row r="1184" spans="1:23">
      <c r="A1184"/>
      <c r="B1184" t="s">
        <v>91</v>
      </c>
      <c r="C1184" t="s">
        <v>91</v>
      </c>
      <c r="D1184" t="s">
        <v>37</v>
      </c>
      <c r="E1184" t="s">
        <v>38</v>
      </c>
      <c r="F1184" t="str">
        <f>"0001285"</f>
        <v>0001285</v>
      </c>
      <c r="G1184">
        <v>1</v>
      </c>
      <c r="H1184" t="str">
        <f>"00000000"</f>
        <v>00000000</v>
      </c>
      <c r="I1184" t="s">
        <v>39</v>
      </c>
      <c r="J1184"/>
      <c r="K1184">
        <v>381.36</v>
      </c>
      <c r="L1184">
        <v>0.0</v>
      </c>
      <c r="M1184"/>
      <c r="N1184"/>
      <c r="O1184">
        <v>68.64</v>
      </c>
      <c r="P1184">
        <v>0.0</v>
      </c>
      <c r="Q1184">
        <v>450.0</v>
      </c>
      <c r="R1184"/>
      <c r="S1184"/>
      <c r="T1184"/>
      <c r="U1184"/>
      <c r="V1184"/>
      <c r="W1184">
        <v>18</v>
      </c>
    </row>
    <row r="1185" spans="1:23">
      <c r="A1185"/>
      <c r="B1185" t="s">
        <v>91</v>
      </c>
      <c r="C1185" t="s">
        <v>91</v>
      </c>
      <c r="D1185" t="s">
        <v>37</v>
      </c>
      <c r="E1185" t="s">
        <v>38</v>
      </c>
      <c r="F1185" t="str">
        <f>"0001286"</f>
        <v>0001286</v>
      </c>
      <c r="G1185">
        <v>1</v>
      </c>
      <c r="H1185" t="str">
        <f>"00000000"</f>
        <v>00000000</v>
      </c>
      <c r="I1185" t="s">
        <v>39</v>
      </c>
      <c r="J1185"/>
      <c r="K1185">
        <v>177.97</v>
      </c>
      <c r="L1185">
        <v>0.0</v>
      </c>
      <c r="M1185"/>
      <c r="N1185"/>
      <c r="O1185">
        <v>32.03</v>
      </c>
      <c r="P1185">
        <v>0.0</v>
      </c>
      <c r="Q1185">
        <v>210.0</v>
      </c>
      <c r="R1185"/>
      <c r="S1185"/>
      <c r="T1185"/>
      <c r="U1185"/>
      <c r="V1185"/>
      <c r="W1185">
        <v>18</v>
      </c>
    </row>
    <row r="1186" spans="1:23">
      <c r="A1186"/>
      <c r="B1186" t="s">
        <v>91</v>
      </c>
      <c r="C1186" t="s">
        <v>91</v>
      </c>
      <c r="D1186" t="s">
        <v>37</v>
      </c>
      <c r="E1186" t="s">
        <v>38</v>
      </c>
      <c r="F1186" t="str">
        <f>"0001287"</f>
        <v>0001287</v>
      </c>
      <c r="G1186">
        <v>1</v>
      </c>
      <c r="H1186" t="str">
        <f>"00000000"</f>
        <v>00000000</v>
      </c>
      <c r="I1186" t="s">
        <v>39</v>
      </c>
      <c r="J1186"/>
      <c r="K1186">
        <v>381.36</v>
      </c>
      <c r="L1186">
        <v>0.0</v>
      </c>
      <c r="M1186"/>
      <c r="N1186"/>
      <c r="O1186">
        <v>68.64</v>
      </c>
      <c r="P1186">
        <v>0.0</v>
      </c>
      <c r="Q1186">
        <v>450.0</v>
      </c>
      <c r="R1186"/>
      <c r="S1186"/>
      <c r="T1186"/>
      <c r="U1186"/>
      <c r="V1186"/>
      <c r="W1186">
        <v>18</v>
      </c>
    </row>
    <row r="1187" spans="1:23">
      <c r="A1187"/>
      <c r="B1187" t="s">
        <v>91</v>
      </c>
      <c r="C1187" t="s">
        <v>91</v>
      </c>
      <c r="D1187" t="s">
        <v>37</v>
      </c>
      <c r="E1187" t="s">
        <v>38</v>
      </c>
      <c r="F1187" t="str">
        <f>"0001288"</f>
        <v>0001288</v>
      </c>
      <c r="G1187">
        <v>1</v>
      </c>
      <c r="H1187" t="str">
        <f>"00000000"</f>
        <v>00000000</v>
      </c>
      <c r="I1187" t="s">
        <v>39</v>
      </c>
      <c r="J1187"/>
      <c r="K1187">
        <v>224.58</v>
      </c>
      <c r="L1187">
        <v>0.0</v>
      </c>
      <c r="M1187"/>
      <c r="N1187"/>
      <c r="O1187">
        <v>40.42</v>
      </c>
      <c r="P1187">
        <v>0.0</v>
      </c>
      <c r="Q1187">
        <v>265.0</v>
      </c>
      <c r="R1187"/>
      <c r="S1187"/>
      <c r="T1187"/>
      <c r="U1187"/>
      <c r="V1187"/>
      <c r="W1187">
        <v>18</v>
      </c>
    </row>
    <row r="1188" spans="1:23">
      <c r="A1188"/>
      <c r="B1188" t="s">
        <v>91</v>
      </c>
      <c r="C1188" t="s">
        <v>91</v>
      </c>
      <c r="D1188" t="s">
        <v>37</v>
      </c>
      <c r="E1188" t="s">
        <v>38</v>
      </c>
      <c r="F1188" t="str">
        <f>"0001289"</f>
        <v>0001289</v>
      </c>
      <c r="G1188">
        <v>1</v>
      </c>
      <c r="H1188" t="str">
        <f>"00000000"</f>
        <v>00000000</v>
      </c>
      <c r="I1188" t="s">
        <v>39</v>
      </c>
      <c r="J1188"/>
      <c r="K1188">
        <v>296.61</v>
      </c>
      <c r="L1188">
        <v>0.0</v>
      </c>
      <c r="M1188"/>
      <c r="N1188"/>
      <c r="O1188">
        <v>53.39</v>
      </c>
      <c r="P1188">
        <v>0.0</v>
      </c>
      <c r="Q1188">
        <v>350.0</v>
      </c>
      <c r="R1188"/>
      <c r="S1188"/>
      <c r="T1188"/>
      <c r="U1188"/>
      <c r="V1188"/>
      <c r="W1188">
        <v>18</v>
      </c>
    </row>
    <row r="1189" spans="1:23">
      <c r="A1189"/>
      <c r="B1189" t="s">
        <v>91</v>
      </c>
      <c r="C1189" t="s">
        <v>91</v>
      </c>
      <c r="D1189" t="s">
        <v>37</v>
      </c>
      <c r="E1189" t="s">
        <v>38</v>
      </c>
      <c r="F1189" t="str">
        <f>"0001290"</f>
        <v>0001290</v>
      </c>
      <c r="G1189">
        <v>1</v>
      </c>
      <c r="H1189" t="str">
        <f>"00000000"</f>
        <v>00000000</v>
      </c>
      <c r="I1189" t="s">
        <v>39</v>
      </c>
      <c r="J1189"/>
      <c r="K1189">
        <v>381.36</v>
      </c>
      <c r="L1189">
        <v>0.0</v>
      </c>
      <c r="M1189"/>
      <c r="N1189"/>
      <c r="O1189">
        <v>68.64</v>
      </c>
      <c r="P1189">
        <v>0.0</v>
      </c>
      <c r="Q1189">
        <v>450.0</v>
      </c>
      <c r="R1189"/>
      <c r="S1189"/>
      <c r="T1189"/>
      <c r="U1189"/>
      <c r="V1189"/>
      <c r="W1189">
        <v>18</v>
      </c>
    </row>
    <row r="1190" spans="1:23">
      <c r="A1190"/>
      <c r="B1190" t="s">
        <v>91</v>
      </c>
      <c r="C1190" t="s">
        <v>91</v>
      </c>
      <c r="D1190" t="s">
        <v>37</v>
      </c>
      <c r="E1190" t="s">
        <v>38</v>
      </c>
      <c r="F1190" t="str">
        <f>"0001291"</f>
        <v>0001291</v>
      </c>
      <c r="G1190">
        <v>1</v>
      </c>
      <c r="H1190" t="str">
        <f>"00000000"</f>
        <v>00000000</v>
      </c>
      <c r="I1190" t="s">
        <v>39</v>
      </c>
      <c r="J1190"/>
      <c r="K1190">
        <v>338.98</v>
      </c>
      <c r="L1190">
        <v>0.0</v>
      </c>
      <c r="M1190"/>
      <c r="N1190"/>
      <c r="O1190">
        <v>61.02</v>
      </c>
      <c r="P1190">
        <v>0.0</v>
      </c>
      <c r="Q1190">
        <v>400.0</v>
      </c>
      <c r="R1190"/>
      <c r="S1190"/>
      <c r="T1190"/>
      <c r="U1190"/>
      <c r="V1190"/>
      <c r="W1190">
        <v>18</v>
      </c>
    </row>
    <row r="1191" spans="1:23">
      <c r="A1191"/>
      <c r="B1191" t="s">
        <v>91</v>
      </c>
      <c r="C1191" t="s">
        <v>91</v>
      </c>
      <c r="D1191" t="s">
        <v>37</v>
      </c>
      <c r="E1191" t="s">
        <v>38</v>
      </c>
      <c r="F1191" t="str">
        <f>"0001292"</f>
        <v>0001292</v>
      </c>
      <c r="G1191">
        <v>1</v>
      </c>
      <c r="H1191" t="str">
        <f>"00000000"</f>
        <v>00000000</v>
      </c>
      <c r="I1191" t="s">
        <v>39</v>
      </c>
      <c r="J1191"/>
      <c r="K1191">
        <v>254.24</v>
      </c>
      <c r="L1191">
        <v>0.0</v>
      </c>
      <c r="M1191"/>
      <c r="N1191"/>
      <c r="O1191">
        <v>45.76</v>
      </c>
      <c r="P1191">
        <v>0.0</v>
      </c>
      <c r="Q1191">
        <v>300.0</v>
      </c>
      <c r="R1191"/>
      <c r="S1191"/>
      <c r="T1191"/>
      <c r="U1191"/>
      <c r="V1191"/>
      <c r="W1191">
        <v>18</v>
      </c>
    </row>
    <row r="1192" spans="1:23">
      <c r="A1192"/>
      <c r="B1192" t="s">
        <v>91</v>
      </c>
      <c r="C1192" t="s">
        <v>91</v>
      </c>
      <c r="D1192" t="s">
        <v>37</v>
      </c>
      <c r="E1192" t="s">
        <v>38</v>
      </c>
      <c r="F1192" t="str">
        <f>"0001293"</f>
        <v>0001293</v>
      </c>
      <c r="G1192">
        <v>1</v>
      </c>
      <c r="H1192" t="str">
        <f>"00000000"</f>
        <v>00000000</v>
      </c>
      <c r="I1192" t="s">
        <v>39</v>
      </c>
      <c r="J1192"/>
      <c r="K1192">
        <v>338.98</v>
      </c>
      <c r="L1192">
        <v>0.0</v>
      </c>
      <c r="M1192"/>
      <c r="N1192"/>
      <c r="O1192">
        <v>61.02</v>
      </c>
      <c r="P1192">
        <v>0.0</v>
      </c>
      <c r="Q1192">
        <v>400.0</v>
      </c>
      <c r="R1192"/>
      <c r="S1192"/>
      <c r="T1192"/>
      <c r="U1192"/>
      <c r="V1192"/>
      <c r="W1192">
        <v>18</v>
      </c>
    </row>
    <row r="1193" spans="1:23">
      <c r="A1193"/>
      <c r="B1193" t="s">
        <v>91</v>
      </c>
      <c r="C1193" t="s">
        <v>91</v>
      </c>
      <c r="D1193" t="s">
        <v>37</v>
      </c>
      <c r="E1193" t="s">
        <v>38</v>
      </c>
      <c r="F1193" t="str">
        <f>"0001294"</f>
        <v>0001294</v>
      </c>
      <c r="G1193">
        <v>1</v>
      </c>
      <c r="H1193" t="str">
        <f>"00000000"</f>
        <v>00000000</v>
      </c>
      <c r="I1193" t="s">
        <v>39</v>
      </c>
      <c r="J1193"/>
      <c r="K1193">
        <v>305.08</v>
      </c>
      <c r="L1193">
        <v>0.0</v>
      </c>
      <c r="M1193"/>
      <c r="N1193"/>
      <c r="O1193">
        <v>54.92</v>
      </c>
      <c r="P1193">
        <v>0.0</v>
      </c>
      <c r="Q1193">
        <v>360.0</v>
      </c>
      <c r="R1193"/>
      <c r="S1193"/>
      <c r="T1193"/>
      <c r="U1193"/>
      <c r="V1193"/>
      <c r="W1193">
        <v>18</v>
      </c>
    </row>
    <row r="1194" spans="1:23">
      <c r="A1194"/>
      <c r="B1194" t="s">
        <v>91</v>
      </c>
      <c r="C1194" t="s">
        <v>91</v>
      </c>
      <c r="D1194" t="s">
        <v>37</v>
      </c>
      <c r="E1194" t="s">
        <v>38</v>
      </c>
      <c r="F1194" t="str">
        <f>"0001295"</f>
        <v>0001295</v>
      </c>
      <c r="G1194">
        <v>1</v>
      </c>
      <c r="H1194" t="str">
        <f>"00000000"</f>
        <v>00000000</v>
      </c>
      <c r="I1194" t="s">
        <v>39</v>
      </c>
      <c r="J1194"/>
      <c r="K1194">
        <v>381.36</v>
      </c>
      <c r="L1194">
        <v>0.0</v>
      </c>
      <c r="M1194"/>
      <c r="N1194"/>
      <c r="O1194">
        <v>68.64</v>
      </c>
      <c r="P1194">
        <v>0.0</v>
      </c>
      <c r="Q1194">
        <v>450.0</v>
      </c>
      <c r="R1194"/>
      <c r="S1194"/>
      <c r="T1194"/>
      <c r="U1194"/>
      <c r="V1194"/>
      <c r="W1194">
        <v>18</v>
      </c>
    </row>
    <row r="1195" spans="1:23">
      <c r="A1195"/>
      <c r="B1195" t="s">
        <v>91</v>
      </c>
      <c r="C1195" t="s">
        <v>91</v>
      </c>
      <c r="D1195" t="s">
        <v>37</v>
      </c>
      <c r="E1195" t="s">
        <v>38</v>
      </c>
      <c r="F1195" t="str">
        <f>"0001296"</f>
        <v>0001296</v>
      </c>
      <c r="G1195">
        <v>1</v>
      </c>
      <c r="H1195" t="str">
        <f>"00000000"</f>
        <v>00000000</v>
      </c>
      <c r="I1195" t="s">
        <v>39</v>
      </c>
      <c r="J1195"/>
      <c r="K1195">
        <v>296.61</v>
      </c>
      <c r="L1195">
        <v>0.0</v>
      </c>
      <c r="M1195"/>
      <c r="N1195"/>
      <c r="O1195">
        <v>53.39</v>
      </c>
      <c r="P1195">
        <v>0.0</v>
      </c>
      <c r="Q1195">
        <v>350.0</v>
      </c>
      <c r="R1195"/>
      <c r="S1195"/>
      <c r="T1195"/>
      <c r="U1195"/>
      <c r="V1195"/>
      <c r="W1195">
        <v>18</v>
      </c>
    </row>
    <row r="1196" spans="1:23">
      <c r="A1196"/>
      <c r="B1196" t="s">
        <v>91</v>
      </c>
      <c r="C1196" t="s">
        <v>91</v>
      </c>
      <c r="D1196" t="s">
        <v>37</v>
      </c>
      <c r="E1196" t="s">
        <v>38</v>
      </c>
      <c r="F1196" t="str">
        <f>"0001297"</f>
        <v>0001297</v>
      </c>
      <c r="G1196">
        <v>1</v>
      </c>
      <c r="H1196" t="str">
        <f>"00000000"</f>
        <v>00000000</v>
      </c>
      <c r="I1196" t="s">
        <v>39</v>
      </c>
      <c r="J1196"/>
      <c r="K1196">
        <v>330.51</v>
      </c>
      <c r="L1196">
        <v>0.0</v>
      </c>
      <c r="M1196"/>
      <c r="N1196"/>
      <c r="O1196">
        <v>59.49</v>
      </c>
      <c r="P1196">
        <v>0.0</v>
      </c>
      <c r="Q1196">
        <v>390.0</v>
      </c>
      <c r="R1196"/>
      <c r="S1196"/>
      <c r="T1196"/>
      <c r="U1196"/>
      <c r="V1196"/>
      <c r="W1196">
        <v>18</v>
      </c>
    </row>
    <row r="1197" spans="1:23">
      <c r="A1197"/>
      <c r="B1197" t="s">
        <v>93</v>
      </c>
      <c r="C1197" t="s">
        <v>93</v>
      </c>
      <c r="D1197" t="s">
        <v>37</v>
      </c>
      <c r="E1197" t="s">
        <v>38</v>
      </c>
      <c r="F1197" t="str">
        <f>"0001298"</f>
        <v>0001298</v>
      </c>
      <c r="G1197">
        <v>1</v>
      </c>
      <c r="H1197" t="str">
        <f>"00000000"</f>
        <v>00000000</v>
      </c>
      <c r="I1197" t="s">
        <v>39</v>
      </c>
      <c r="J1197"/>
      <c r="K1197">
        <v>406.78</v>
      </c>
      <c r="L1197">
        <v>0.0</v>
      </c>
      <c r="M1197"/>
      <c r="N1197"/>
      <c r="O1197">
        <v>73.22</v>
      </c>
      <c r="P1197">
        <v>0.0</v>
      </c>
      <c r="Q1197">
        <v>480.0</v>
      </c>
      <c r="R1197"/>
      <c r="S1197"/>
      <c r="T1197"/>
      <c r="U1197"/>
      <c r="V1197"/>
      <c r="W1197">
        <v>18</v>
      </c>
    </row>
    <row r="1198" spans="1:23">
      <c r="A1198"/>
      <c r="B1198" t="s">
        <v>93</v>
      </c>
      <c r="C1198" t="s">
        <v>93</v>
      </c>
      <c r="D1198" t="s">
        <v>37</v>
      </c>
      <c r="E1198" t="s">
        <v>38</v>
      </c>
      <c r="F1198" t="str">
        <f>"0001299"</f>
        <v>0001299</v>
      </c>
      <c r="G1198">
        <v>1</v>
      </c>
      <c r="H1198" t="str">
        <f>"00000000"</f>
        <v>00000000</v>
      </c>
      <c r="I1198" t="s">
        <v>39</v>
      </c>
      <c r="J1198"/>
      <c r="K1198">
        <v>423.73</v>
      </c>
      <c r="L1198">
        <v>0.0</v>
      </c>
      <c r="M1198"/>
      <c r="N1198"/>
      <c r="O1198">
        <v>76.27</v>
      </c>
      <c r="P1198">
        <v>0.0</v>
      </c>
      <c r="Q1198">
        <v>500.0</v>
      </c>
      <c r="R1198"/>
      <c r="S1198"/>
      <c r="T1198"/>
      <c r="U1198"/>
      <c r="V1198"/>
      <c r="W1198">
        <v>18</v>
      </c>
    </row>
    <row r="1199" spans="1:23">
      <c r="A1199"/>
      <c r="B1199" t="s">
        <v>93</v>
      </c>
      <c r="C1199" t="s">
        <v>93</v>
      </c>
      <c r="D1199" t="s">
        <v>37</v>
      </c>
      <c r="E1199" t="s">
        <v>38</v>
      </c>
      <c r="F1199" t="str">
        <f>"0001300"</f>
        <v>0001300</v>
      </c>
      <c r="G1199">
        <v>1</v>
      </c>
      <c r="H1199" t="str">
        <f>"00000000"</f>
        <v>00000000</v>
      </c>
      <c r="I1199" t="s">
        <v>39</v>
      </c>
      <c r="J1199"/>
      <c r="K1199">
        <v>381.36</v>
      </c>
      <c r="L1199">
        <v>0.0</v>
      </c>
      <c r="M1199"/>
      <c r="N1199"/>
      <c r="O1199">
        <v>68.64</v>
      </c>
      <c r="P1199">
        <v>0.0</v>
      </c>
      <c r="Q1199">
        <v>450.0</v>
      </c>
      <c r="R1199"/>
      <c r="S1199"/>
      <c r="T1199"/>
      <c r="U1199"/>
      <c r="V1199"/>
      <c r="W1199">
        <v>18</v>
      </c>
    </row>
    <row r="1200" spans="1:23">
      <c r="A1200"/>
      <c r="B1200" t="s">
        <v>93</v>
      </c>
      <c r="C1200" t="s">
        <v>93</v>
      </c>
      <c r="D1200" t="s">
        <v>37</v>
      </c>
      <c r="E1200" t="s">
        <v>38</v>
      </c>
      <c r="F1200" t="str">
        <f>"0001301"</f>
        <v>0001301</v>
      </c>
      <c r="G1200">
        <v>1</v>
      </c>
      <c r="H1200" t="str">
        <f>"00000000"</f>
        <v>00000000</v>
      </c>
      <c r="I1200" t="s">
        <v>39</v>
      </c>
      <c r="J1200"/>
      <c r="K1200">
        <v>423.73</v>
      </c>
      <c r="L1200">
        <v>0.0</v>
      </c>
      <c r="M1200"/>
      <c r="N1200"/>
      <c r="O1200">
        <v>76.27</v>
      </c>
      <c r="P1200">
        <v>0.0</v>
      </c>
      <c r="Q1200">
        <v>500.0</v>
      </c>
      <c r="R1200"/>
      <c r="S1200"/>
      <c r="T1200"/>
      <c r="U1200"/>
      <c r="V1200"/>
      <c r="W1200">
        <v>18</v>
      </c>
    </row>
    <row r="1201" spans="1:23">
      <c r="A1201"/>
      <c r="B1201" t="s">
        <v>93</v>
      </c>
      <c r="C1201" t="s">
        <v>93</v>
      </c>
      <c r="D1201" t="s">
        <v>37</v>
      </c>
      <c r="E1201" t="s">
        <v>38</v>
      </c>
      <c r="F1201" t="str">
        <f>"0001302"</f>
        <v>0001302</v>
      </c>
      <c r="G1201">
        <v>1</v>
      </c>
      <c r="H1201" t="str">
        <f>"00000000"</f>
        <v>00000000</v>
      </c>
      <c r="I1201" t="s">
        <v>39</v>
      </c>
      <c r="J1201"/>
      <c r="K1201">
        <v>381.36</v>
      </c>
      <c r="L1201">
        <v>0.0</v>
      </c>
      <c r="M1201"/>
      <c r="N1201"/>
      <c r="O1201">
        <v>68.64</v>
      </c>
      <c r="P1201">
        <v>0.0</v>
      </c>
      <c r="Q1201">
        <v>450.0</v>
      </c>
      <c r="R1201"/>
      <c r="S1201"/>
      <c r="T1201"/>
      <c r="U1201"/>
      <c r="V1201"/>
      <c r="W1201">
        <v>18</v>
      </c>
    </row>
    <row r="1202" spans="1:23">
      <c r="A1202"/>
      <c r="B1202" t="s">
        <v>93</v>
      </c>
      <c r="C1202" t="s">
        <v>93</v>
      </c>
      <c r="D1202" t="s">
        <v>37</v>
      </c>
      <c r="E1202" t="s">
        <v>38</v>
      </c>
      <c r="F1202" t="str">
        <f>"0001303"</f>
        <v>0001303</v>
      </c>
      <c r="G1202">
        <v>1</v>
      </c>
      <c r="H1202" t="str">
        <f>"00000000"</f>
        <v>00000000</v>
      </c>
      <c r="I1202" t="s">
        <v>39</v>
      </c>
      <c r="J1202"/>
      <c r="K1202">
        <v>423.73</v>
      </c>
      <c r="L1202">
        <v>0.0</v>
      </c>
      <c r="M1202"/>
      <c r="N1202"/>
      <c r="O1202">
        <v>76.27</v>
      </c>
      <c r="P1202">
        <v>0.0</v>
      </c>
      <c r="Q1202">
        <v>500.0</v>
      </c>
      <c r="R1202"/>
      <c r="S1202"/>
      <c r="T1202"/>
      <c r="U1202"/>
      <c r="V1202"/>
      <c r="W1202">
        <v>18</v>
      </c>
    </row>
    <row r="1203" spans="1:23">
      <c r="A1203"/>
      <c r="B1203" t="s">
        <v>93</v>
      </c>
      <c r="C1203" t="s">
        <v>93</v>
      </c>
      <c r="D1203" t="s">
        <v>37</v>
      </c>
      <c r="E1203" t="s">
        <v>38</v>
      </c>
      <c r="F1203" t="str">
        <f>"0001304"</f>
        <v>0001304</v>
      </c>
      <c r="G1203">
        <v>1</v>
      </c>
      <c r="H1203" t="str">
        <f>"00000000"</f>
        <v>00000000</v>
      </c>
      <c r="I1203" t="s">
        <v>39</v>
      </c>
      <c r="J1203"/>
      <c r="K1203">
        <v>355.93</v>
      </c>
      <c r="L1203">
        <v>0.0</v>
      </c>
      <c r="M1203"/>
      <c r="N1203"/>
      <c r="O1203">
        <v>64.07</v>
      </c>
      <c r="P1203">
        <v>0.0</v>
      </c>
      <c r="Q1203">
        <v>420.0</v>
      </c>
      <c r="R1203"/>
      <c r="S1203"/>
      <c r="T1203"/>
      <c r="U1203"/>
      <c r="V1203"/>
      <c r="W1203">
        <v>18</v>
      </c>
    </row>
    <row r="1204" spans="1:23">
      <c r="A1204"/>
      <c r="B1204" t="s">
        <v>93</v>
      </c>
      <c r="C1204" t="s">
        <v>93</v>
      </c>
      <c r="D1204" t="s">
        <v>37</v>
      </c>
      <c r="E1204" t="s">
        <v>38</v>
      </c>
      <c r="F1204" t="str">
        <f>"0001305"</f>
        <v>0001305</v>
      </c>
      <c r="G1204">
        <v>1</v>
      </c>
      <c r="H1204" t="str">
        <f>"00000000"</f>
        <v>00000000</v>
      </c>
      <c r="I1204" t="s">
        <v>39</v>
      </c>
      <c r="J1204"/>
      <c r="K1204">
        <v>406.78</v>
      </c>
      <c r="L1204">
        <v>0.0</v>
      </c>
      <c r="M1204"/>
      <c r="N1204"/>
      <c r="O1204">
        <v>73.22</v>
      </c>
      <c r="P1204">
        <v>0.0</v>
      </c>
      <c r="Q1204">
        <v>480.0</v>
      </c>
      <c r="R1204"/>
      <c r="S1204"/>
      <c r="T1204"/>
      <c r="U1204"/>
      <c r="V1204"/>
      <c r="W1204">
        <v>18</v>
      </c>
    </row>
    <row r="1205" spans="1:23">
      <c r="A1205"/>
      <c r="B1205" t="s">
        <v>93</v>
      </c>
      <c r="C1205" t="s">
        <v>93</v>
      </c>
      <c r="D1205" t="s">
        <v>37</v>
      </c>
      <c r="E1205" t="s">
        <v>38</v>
      </c>
      <c r="F1205" t="str">
        <f>"0001306"</f>
        <v>0001306</v>
      </c>
      <c r="G1205">
        <v>1</v>
      </c>
      <c r="H1205" t="str">
        <f>"00000000"</f>
        <v>00000000</v>
      </c>
      <c r="I1205" t="s">
        <v>39</v>
      </c>
      <c r="J1205"/>
      <c r="K1205">
        <v>305.08</v>
      </c>
      <c r="L1205">
        <v>0.0</v>
      </c>
      <c r="M1205"/>
      <c r="N1205"/>
      <c r="O1205">
        <v>54.92</v>
      </c>
      <c r="P1205">
        <v>0.0</v>
      </c>
      <c r="Q1205">
        <v>360.0</v>
      </c>
      <c r="R1205"/>
      <c r="S1205"/>
      <c r="T1205"/>
      <c r="U1205"/>
      <c r="V1205"/>
      <c r="W1205">
        <v>18</v>
      </c>
    </row>
    <row r="1206" spans="1:23">
      <c r="A1206"/>
      <c r="B1206" t="s">
        <v>93</v>
      </c>
      <c r="C1206" t="s">
        <v>93</v>
      </c>
      <c r="D1206" t="s">
        <v>37</v>
      </c>
      <c r="E1206" t="s">
        <v>38</v>
      </c>
      <c r="F1206" t="str">
        <f>"0001307"</f>
        <v>0001307</v>
      </c>
      <c r="G1206">
        <v>1</v>
      </c>
      <c r="H1206" t="str">
        <f>"00000000"</f>
        <v>00000000</v>
      </c>
      <c r="I1206" t="s">
        <v>39</v>
      </c>
      <c r="J1206"/>
      <c r="K1206">
        <v>355.93</v>
      </c>
      <c r="L1206">
        <v>0.0</v>
      </c>
      <c r="M1206"/>
      <c r="N1206"/>
      <c r="O1206">
        <v>64.07</v>
      </c>
      <c r="P1206">
        <v>0.0</v>
      </c>
      <c r="Q1206">
        <v>420.0</v>
      </c>
      <c r="R1206"/>
      <c r="S1206"/>
      <c r="T1206"/>
      <c r="U1206"/>
      <c r="V1206"/>
      <c r="W1206">
        <v>18</v>
      </c>
    </row>
    <row r="1207" spans="1:23">
      <c r="A1207"/>
      <c r="B1207" t="s">
        <v>93</v>
      </c>
      <c r="C1207" t="s">
        <v>93</v>
      </c>
      <c r="D1207" t="s">
        <v>37</v>
      </c>
      <c r="E1207" t="s">
        <v>38</v>
      </c>
      <c r="F1207" t="str">
        <f>"0001308"</f>
        <v>0001308</v>
      </c>
      <c r="G1207">
        <v>1</v>
      </c>
      <c r="H1207" t="str">
        <f>"00000000"</f>
        <v>00000000</v>
      </c>
      <c r="I1207" t="s">
        <v>39</v>
      </c>
      <c r="J1207"/>
      <c r="K1207">
        <v>322.03</v>
      </c>
      <c r="L1207">
        <v>0.0</v>
      </c>
      <c r="M1207"/>
      <c r="N1207"/>
      <c r="O1207">
        <v>57.97</v>
      </c>
      <c r="P1207">
        <v>0.0</v>
      </c>
      <c r="Q1207">
        <v>380.0</v>
      </c>
      <c r="R1207"/>
      <c r="S1207"/>
      <c r="T1207"/>
      <c r="U1207"/>
      <c r="V1207"/>
      <c r="W1207">
        <v>18</v>
      </c>
    </row>
    <row r="1208" spans="1:23">
      <c r="A1208"/>
      <c r="B1208" t="s">
        <v>93</v>
      </c>
      <c r="C1208" t="s">
        <v>93</v>
      </c>
      <c r="D1208" t="s">
        <v>37</v>
      </c>
      <c r="E1208" t="s">
        <v>38</v>
      </c>
      <c r="F1208" t="str">
        <f>"0001309"</f>
        <v>0001309</v>
      </c>
      <c r="G1208">
        <v>1</v>
      </c>
      <c r="H1208" t="str">
        <f>"00000000"</f>
        <v>00000000</v>
      </c>
      <c r="I1208" t="s">
        <v>39</v>
      </c>
      <c r="J1208"/>
      <c r="K1208">
        <v>338.98</v>
      </c>
      <c r="L1208">
        <v>0.0</v>
      </c>
      <c r="M1208"/>
      <c r="N1208"/>
      <c r="O1208">
        <v>61.02</v>
      </c>
      <c r="P1208">
        <v>0.0</v>
      </c>
      <c r="Q1208">
        <v>400.0</v>
      </c>
      <c r="R1208"/>
      <c r="S1208"/>
      <c r="T1208"/>
      <c r="U1208"/>
      <c r="V1208"/>
      <c r="W1208">
        <v>18</v>
      </c>
    </row>
    <row r="1209" spans="1:23">
      <c r="A1209"/>
      <c r="B1209" t="s">
        <v>93</v>
      </c>
      <c r="C1209" t="s">
        <v>93</v>
      </c>
      <c r="D1209" t="s">
        <v>37</v>
      </c>
      <c r="E1209" t="s">
        <v>38</v>
      </c>
      <c r="F1209" t="str">
        <f>"0001310"</f>
        <v>0001310</v>
      </c>
      <c r="G1209">
        <v>1</v>
      </c>
      <c r="H1209" t="str">
        <f>"00000000"</f>
        <v>00000000</v>
      </c>
      <c r="I1209" t="s">
        <v>39</v>
      </c>
      <c r="J1209"/>
      <c r="K1209">
        <v>355.93</v>
      </c>
      <c r="L1209">
        <v>0.0</v>
      </c>
      <c r="M1209"/>
      <c r="N1209"/>
      <c r="O1209">
        <v>64.07</v>
      </c>
      <c r="P1209">
        <v>0.0</v>
      </c>
      <c r="Q1209">
        <v>420.0</v>
      </c>
      <c r="R1209"/>
      <c r="S1209"/>
      <c r="T1209"/>
      <c r="U1209"/>
      <c r="V1209"/>
      <c r="W1209">
        <v>18</v>
      </c>
    </row>
    <row r="1210" spans="1:23">
      <c r="A1210"/>
      <c r="B1210" t="s">
        <v>93</v>
      </c>
      <c r="C1210" t="s">
        <v>93</v>
      </c>
      <c r="D1210" t="s">
        <v>37</v>
      </c>
      <c r="E1210" t="s">
        <v>38</v>
      </c>
      <c r="F1210" t="str">
        <f>"0001311"</f>
        <v>0001311</v>
      </c>
      <c r="G1210">
        <v>1</v>
      </c>
      <c r="H1210" t="str">
        <f>"00000000"</f>
        <v>00000000</v>
      </c>
      <c r="I1210" t="s">
        <v>39</v>
      </c>
      <c r="J1210"/>
      <c r="K1210">
        <v>406.78</v>
      </c>
      <c r="L1210">
        <v>0.0</v>
      </c>
      <c r="M1210"/>
      <c r="N1210"/>
      <c r="O1210">
        <v>73.22</v>
      </c>
      <c r="P1210">
        <v>0.0</v>
      </c>
      <c r="Q1210">
        <v>480.0</v>
      </c>
      <c r="R1210"/>
      <c r="S1210"/>
      <c r="T1210"/>
      <c r="U1210"/>
      <c r="V1210"/>
      <c r="W1210">
        <v>18</v>
      </c>
    </row>
    <row r="1211" spans="1:23">
      <c r="A1211"/>
      <c r="B1211" t="s">
        <v>93</v>
      </c>
      <c r="C1211" t="s">
        <v>93</v>
      </c>
      <c r="D1211" t="s">
        <v>37</v>
      </c>
      <c r="E1211" t="s">
        <v>38</v>
      </c>
      <c r="F1211" t="str">
        <f>"0001312"</f>
        <v>0001312</v>
      </c>
      <c r="G1211">
        <v>1</v>
      </c>
      <c r="H1211" t="str">
        <f>"00000000"</f>
        <v>00000000</v>
      </c>
      <c r="I1211" t="s">
        <v>39</v>
      </c>
      <c r="J1211"/>
      <c r="K1211">
        <v>415.25</v>
      </c>
      <c r="L1211">
        <v>0.0</v>
      </c>
      <c r="M1211"/>
      <c r="N1211"/>
      <c r="O1211">
        <v>74.75</v>
      </c>
      <c r="P1211">
        <v>0.0</v>
      </c>
      <c r="Q1211">
        <v>490.0</v>
      </c>
      <c r="R1211"/>
      <c r="S1211"/>
      <c r="T1211"/>
      <c r="U1211"/>
      <c r="V1211"/>
      <c r="W1211">
        <v>18</v>
      </c>
    </row>
    <row r="1212" spans="1:23">
      <c r="A1212"/>
      <c r="B1212" t="s">
        <v>93</v>
      </c>
      <c r="C1212" t="s">
        <v>93</v>
      </c>
      <c r="D1212" t="s">
        <v>37</v>
      </c>
      <c r="E1212" t="s">
        <v>38</v>
      </c>
      <c r="F1212" t="str">
        <f>"0001313"</f>
        <v>0001313</v>
      </c>
      <c r="G1212">
        <v>1</v>
      </c>
      <c r="H1212" t="str">
        <f>"00000000"</f>
        <v>00000000</v>
      </c>
      <c r="I1212" t="s">
        <v>39</v>
      </c>
      <c r="J1212"/>
      <c r="K1212">
        <v>372.88</v>
      </c>
      <c r="L1212">
        <v>0.0</v>
      </c>
      <c r="M1212"/>
      <c r="N1212"/>
      <c r="O1212">
        <v>67.12</v>
      </c>
      <c r="P1212">
        <v>0.0</v>
      </c>
      <c r="Q1212">
        <v>440.0</v>
      </c>
      <c r="R1212"/>
      <c r="S1212"/>
      <c r="T1212"/>
      <c r="U1212"/>
      <c r="V1212"/>
      <c r="W1212">
        <v>18</v>
      </c>
    </row>
    <row r="1213" spans="1:23">
      <c r="A1213"/>
      <c r="B1213" t="s">
        <v>93</v>
      </c>
      <c r="C1213" t="s">
        <v>93</v>
      </c>
      <c r="D1213" t="s">
        <v>37</v>
      </c>
      <c r="E1213" t="s">
        <v>38</v>
      </c>
      <c r="F1213" t="str">
        <f>"0001314"</f>
        <v>0001314</v>
      </c>
      <c r="G1213">
        <v>1</v>
      </c>
      <c r="H1213" t="str">
        <f>"00000000"</f>
        <v>00000000</v>
      </c>
      <c r="I1213" t="s">
        <v>39</v>
      </c>
      <c r="J1213"/>
      <c r="K1213">
        <v>355.93</v>
      </c>
      <c r="L1213">
        <v>0.0</v>
      </c>
      <c r="M1213"/>
      <c r="N1213"/>
      <c r="O1213">
        <v>64.07</v>
      </c>
      <c r="P1213">
        <v>0.0</v>
      </c>
      <c r="Q1213">
        <v>420.0</v>
      </c>
      <c r="R1213"/>
      <c r="S1213"/>
      <c r="T1213"/>
      <c r="U1213"/>
      <c r="V1213"/>
      <c r="W1213">
        <v>18</v>
      </c>
    </row>
    <row r="1214" spans="1:23">
      <c r="A1214"/>
      <c r="B1214" t="s">
        <v>93</v>
      </c>
      <c r="C1214" t="s">
        <v>93</v>
      </c>
      <c r="D1214" t="s">
        <v>37</v>
      </c>
      <c r="E1214" t="s">
        <v>38</v>
      </c>
      <c r="F1214" t="str">
        <f>"0001315"</f>
        <v>0001315</v>
      </c>
      <c r="G1214">
        <v>1</v>
      </c>
      <c r="H1214" t="str">
        <f>"00000000"</f>
        <v>00000000</v>
      </c>
      <c r="I1214" t="s">
        <v>39</v>
      </c>
      <c r="J1214"/>
      <c r="K1214">
        <v>389.83</v>
      </c>
      <c r="L1214">
        <v>0.0</v>
      </c>
      <c r="M1214"/>
      <c r="N1214"/>
      <c r="O1214">
        <v>70.17</v>
      </c>
      <c r="P1214">
        <v>0.0</v>
      </c>
      <c r="Q1214">
        <v>460.0</v>
      </c>
      <c r="R1214"/>
      <c r="S1214"/>
      <c r="T1214"/>
      <c r="U1214"/>
      <c r="V1214"/>
      <c r="W1214">
        <v>18</v>
      </c>
    </row>
    <row r="1215" spans="1:23">
      <c r="A1215"/>
      <c r="B1215" t="s">
        <v>93</v>
      </c>
      <c r="C1215" t="s">
        <v>93</v>
      </c>
      <c r="D1215" t="s">
        <v>37</v>
      </c>
      <c r="E1215" t="s">
        <v>38</v>
      </c>
      <c r="F1215" t="str">
        <f>"0001316"</f>
        <v>0001316</v>
      </c>
      <c r="G1215">
        <v>1</v>
      </c>
      <c r="H1215" t="str">
        <f>"00000000"</f>
        <v>00000000</v>
      </c>
      <c r="I1215" t="s">
        <v>39</v>
      </c>
      <c r="J1215"/>
      <c r="K1215">
        <v>343.22</v>
      </c>
      <c r="L1215">
        <v>0.0</v>
      </c>
      <c r="M1215"/>
      <c r="N1215"/>
      <c r="O1215">
        <v>61.78</v>
      </c>
      <c r="P1215">
        <v>0.0</v>
      </c>
      <c r="Q1215">
        <v>405.0</v>
      </c>
      <c r="R1215"/>
      <c r="S1215"/>
      <c r="T1215"/>
      <c r="U1215"/>
      <c r="V1215"/>
      <c r="W1215">
        <v>18</v>
      </c>
    </row>
    <row r="1216" spans="1:23">
      <c r="A1216"/>
      <c r="B1216" t="s">
        <v>93</v>
      </c>
      <c r="C1216" t="s">
        <v>93</v>
      </c>
      <c r="D1216" t="s">
        <v>37</v>
      </c>
      <c r="E1216" t="s">
        <v>38</v>
      </c>
      <c r="F1216" t="str">
        <f>"0001317"</f>
        <v>0001317</v>
      </c>
      <c r="G1216">
        <v>1</v>
      </c>
      <c r="H1216" t="str">
        <f>"00000000"</f>
        <v>00000000</v>
      </c>
      <c r="I1216" t="s">
        <v>39</v>
      </c>
      <c r="J1216"/>
      <c r="K1216">
        <v>381.36</v>
      </c>
      <c r="L1216">
        <v>0.0</v>
      </c>
      <c r="M1216"/>
      <c r="N1216"/>
      <c r="O1216">
        <v>68.64</v>
      </c>
      <c r="P1216">
        <v>0.0</v>
      </c>
      <c r="Q1216">
        <v>450.0</v>
      </c>
      <c r="R1216"/>
      <c r="S1216"/>
      <c r="T1216"/>
      <c r="U1216"/>
      <c r="V1216"/>
      <c r="W1216">
        <v>18</v>
      </c>
    </row>
    <row r="1217" spans="1:23">
      <c r="A1217"/>
      <c r="B1217" t="s">
        <v>93</v>
      </c>
      <c r="C1217" t="s">
        <v>93</v>
      </c>
      <c r="D1217" t="s">
        <v>37</v>
      </c>
      <c r="E1217" t="s">
        <v>38</v>
      </c>
      <c r="F1217" t="str">
        <f>"0001318"</f>
        <v>0001318</v>
      </c>
      <c r="G1217">
        <v>1</v>
      </c>
      <c r="H1217" t="str">
        <f>"00000000"</f>
        <v>00000000</v>
      </c>
      <c r="I1217" t="s">
        <v>39</v>
      </c>
      <c r="J1217"/>
      <c r="K1217">
        <v>415.25</v>
      </c>
      <c r="L1217">
        <v>0.0</v>
      </c>
      <c r="M1217"/>
      <c r="N1217"/>
      <c r="O1217">
        <v>74.75</v>
      </c>
      <c r="P1217">
        <v>0.0</v>
      </c>
      <c r="Q1217">
        <v>490.0</v>
      </c>
      <c r="R1217"/>
      <c r="S1217"/>
      <c r="T1217"/>
      <c r="U1217"/>
      <c r="V1217"/>
      <c r="W1217">
        <v>18</v>
      </c>
    </row>
    <row r="1218" spans="1:23">
      <c r="A1218"/>
      <c r="B1218" t="s">
        <v>93</v>
      </c>
      <c r="C1218" t="s">
        <v>93</v>
      </c>
      <c r="D1218" t="s">
        <v>37</v>
      </c>
      <c r="E1218" t="s">
        <v>38</v>
      </c>
      <c r="F1218" t="str">
        <f>"0001319"</f>
        <v>0001319</v>
      </c>
      <c r="G1218">
        <v>1</v>
      </c>
      <c r="H1218" t="str">
        <f>"00000000"</f>
        <v>00000000</v>
      </c>
      <c r="I1218" t="s">
        <v>39</v>
      </c>
      <c r="J1218"/>
      <c r="K1218">
        <v>330.51</v>
      </c>
      <c r="L1218">
        <v>0.0</v>
      </c>
      <c r="M1218"/>
      <c r="N1218"/>
      <c r="O1218">
        <v>59.49</v>
      </c>
      <c r="P1218">
        <v>0.0</v>
      </c>
      <c r="Q1218">
        <v>390.0</v>
      </c>
      <c r="R1218"/>
      <c r="S1218"/>
      <c r="T1218"/>
      <c r="U1218"/>
      <c r="V1218"/>
      <c r="W1218">
        <v>18</v>
      </c>
    </row>
    <row r="1219" spans="1:23">
      <c r="A1219"/>
      <c r="B1219" t="s">
        <v>93</v>
      </c>
      <c r="C1219" t="s">
        <v>93</v>
      </c>
      <c r="D1219" t="s">
        <v>37</v>
      </c>
      <c r="E1219" t="s">
        <v>38</v>
      </c>
      <c r="F1219" t="str">
        <f>"0001320"</f>
        <v>0001320</v>
      </c>
      <c r="G1219">
        <v>1</v>
      </c>
      <c r="H1219" t="str">
        <f>"00000000"</f>
        <v>00000000</v>
      </c>
      <c r="I1219" t="s">
        <v>39</v>
      </c>
      <c r="J1219"/>
      <c r="K1219">
        <v>338.98</v>
      </c>
      <c r="L1219">
        <v>0.0</v>
      </c>
      <c r="M1219"/>
      <c r="N1219"/>
      <c r="O1219">
        <v>61.02</v>
      </c>
      <c r="P1219">
        <v>0.0</v>
      </c>
      <c r="Q1219">
        <v>400.0</v>
      </c>
      <c r="R1219"/>
      <c r="S1219"/>
      <c r="T1219"/>
      <c r="U1219"/>
      <c r="V1219"/>
      <c r="W1219">
        <v>18</v>
      </c>
    </row>
    <row r="1220" spans="1:23">
      <c r="A1220"/>
      <c r="B1220" t="s">
        <v>93</v>
      </c>
      <c r="C1220" t="s">
        <v>93</v>
      </c>
      <c r="D1220" t="s">
        <v>37</v>
      </c>
      <c r="E1220" t="s">
        <v>38</v>
      </c>
      <c r="F1220" t="str">
        <f>"0001321"</f>
        <v>0001321</v>
      </c>
      <c r="G1220">
        <v>1</v>
      </c>
      <c r="H1220" t="str">
        <f>"00000000"</f>
        <v>00000000</v>
      </c>
      <c r="I1220" t="s">
        <v>39</v>
      </c>
      <c r="J1220"/>
      <c r="K1220">
        <v>372.88</v>
      </c>
      <c r="L1220">
        <v>0.0</v>
      </c>
      <c r="M1220"/>
      <c r="N1220"/>
      <c r="O1220">
        <v>67.12</v>
      </c>
      <c r="P1220">
        <v>0.0</v>
      </c>
      <c r="Q1220">
        <v>440.0</v>
      </c>
      <c r="R1220"/>
      <c r="S1220"/>
      <c r="T1220"/>
      <c r="U1220"/>
      <c r="V1220"/>
      <c r="W1220">
        <v>18</v>
      </c>
    </row>
    <row r="1221" spans="1:23">
      <c r="A1221"/>
      <c r="B1221" t="s">
        <v>93</v>
      </c>
      <c r="C1221" t="s">
        <v>93</v>
      </c>
      <c r="D1221" t="s">
        <v>37</v>
      </c>
      <c r="E1221" t="s">
        <v>38</v>
      </c>
      <c r="F1221" t="str">
        <f>"0001322"</f>
        <v>0001322</v>
      </c>
      <c r="G1221">
        <v>1</v>
      </c>
      <c r="H1221" t="str">
        <f>"00000000"</f>
        <v>00000000</v>
      </c>
      <c r="I1221" t="s">
        <v>39</v>
      </c>
      <c r="J1221"/>
      <c r="K1221">
        <v>292.37</v>
      </c>
      <c r="L1221">
        <v>0.0</v>
      </c>
      <c r="M1221"/>
      <c r="N1221"/>
      <c r="O1221">
        <v>52.63</v>
      </c>
      <c r="P1221">
        <v>0.0</v>
      </c>
      <c r="Q1221">
        <v>345.0</v>
      </c>
      <c r="R1221"/>
      <c r="S1221"/>
      <c r="T1221"/>
      <c r="U1221"/>
      <c r="V1221"/>
      <c r="W1221">
        <v>18</v>
      </c>
    </row>
    <row r="1222" spans="1:23">
      <c r="A1222"/>
      <c r="B1222" t="s">
        <v>93</v>
      </c>
      <c r="C1222" t="s">
        <v>93</v>
      </c>
      <c r="D1222" t="s">
        <v>37</v>
      </c>
      <c r="E1222" t="s">
        <v>38</v>
      </c>
      <c r="F1222" t="str">
        <f>"0001323"</f>
        <v>0001323</v>
      </c>
      <c r="G1222">
        <v>1</v>
      </c>
      <c r="H1222" t="str">
        <f>"00000000"</f>
        <v>00000000</v>
      </c>
      <c r="I1222" t="s">
        <v>39</v>
      </c>
      <c r="J1222"/>
      <c r="K1222">
        <v>355.93</v>
      </c>
      <c r="L1222">
        <v>0.0</v>
      </c>
      <c r="M1222"/>
      <c r="N1222"/>
      <c r="O1222">
        <v>64.07</v>
      </c>
      <c r="P1222">
        <v>0.0</v>
      </c>
      <c r="Q1222">
        <v>420.0</v>
      </c>
      <c r="R1222"/>
      <c r="S1222"/>
      <c r="T1222"/>
      <c r="U1222"/>
      <c r="V1222"/>
      <c r="W1222">
        <v>18</v>
      </c>
    </row>
    <row r="1223" spans="1:23">
      <c r="A1223"/>
      <c r="B1223" t="s">
        <v>93</v>
      </c>
      <c r="C1223" t="s">
        <v>93</v>
      </c>
      <c r="D1223" t="s">
        <v>37</v>
      </c>
      <c r="E1223" t="s">
        <v>38</v>
      </c>
      <c r="F1223" t="str">
        <f>"0001324"</f>
        <v>0001324</v>
      </c>
      <c r="G1223">
        <v>1</v>
      </c>
      <c r="H1223" t="str">
        <f>"00000000"</f>
        <v>00000000</v>
      </c>
      <c r="I1223" t="s">
        <v>39</v>
      </c>
      <c r="J1223"/>
      <c r="K1223">
        <v>415.25</v>
      </c>
      <c r="L1223">
        <v>0.0</v>
      </c>
      <c r="M1223"/>
      <c r="N1223"/>
      <c r="O1223">
        <v>74.75</v>
      </c>
      <c r="P1223">
        <v>0.0</v>
      </c>
      <c r="Q1223">
        <v>490.0</v>
      </c>
      <c r="R1223"/>
      <c r="S1223"/>
      <c r="T1223"/>
      <c r="U1223"/>
      <c r="V1223"/>
      <c r="W1223">
        <v>18</v>
      </c>
    </row>
    <row r="1224" spans="1:23">
      <c r="A1224"/>
      <c r="B1224" t="s">
        <v>93</v>
      </c>
      <c r="C1224" t="s">
        <v>93</v>
      </c>
      <c r="D1224" t="s">
        <v>37</v>
      </c>
      <c r="E1224" t="s">
        <v>38</v>
      </c>
      <c r="F1224" t="str">
        <f>"0001325"</f>
        <v>0001325</v>
      </c>
      <c r="G1224">
        <v>1</v>
      </c>
      <c r="H1224" t="str">
        <f>"00000000"</f>
        <v>00000000</v>
      </c>
      <c r="I1224" t="s">
        <v>39</v>
      </c>
      <c r="J1224"/>
      <c r="K1224">
        <v>296.61</v>
      </c>
      <c r="L1224">
        <v>0.0</v>
      </c>
      <c r="M1224"/>
      <c r="N1224"/>
      <c r="O1224">
        <v>53.39</v>
      </c>
      <c r="P1224">
        <v>0.0</v>
      </c>
      <c r="Q1224">
        <v>350.0</v>
      </c>
      <c r="R1224"/>
      <c r="S1224"/>
      <c r="T1224"/>
      <c r="U1224"/>
      <c r="V1224"/>
      <c r="W1224">
        <v>18</v>
      </c>
    </row>
    <row r="1225" spans="1:23">
      <c r="A1225"/>
      <c r="B1225" t="s">
        <v>93</v>
      </c>
      <c r="C1225" t="s">
        <v>93</v>
      </c>
      <c r="D1225" t="s">
        <v>37</v>
      </c>
      <c r="E1225" t="s">
        <v>38</v>
      </c>
      <c r="F1225" t="str">
        <f>"0001326"</f>
        <v>0001326</v>
      </c>
      <c r="G1225">
        <v>1</v>
      </c>
      <c r="H1225" t="str">
        <f>"00000000"</f>
        <v>00000000</v>
      </c>
      <c r="I1225" t="s">
        <v>39</v>
      </c>
      <c r="J1225"/>
      <c r="K1225">
        <v>423.73</v>
      </c>
      <c r="L1225">
        <v>0.0</v>
      </c>
      <c r="M1225"/>
      <c r="N1225"/>
      <c r="O1225">
        <v>76.27</v>
      </c>
      <c r="P1225">
        <v>0.0</v>
      </c>
      <c r="Q1225">
        <v>500.0</v>
      </c>
      <c r="R1225"/>
      <c r="S1225"/>
      <c r="T1225"/>
      <c r="U1225"/>
      <c r="V1225"/>
      <c r="W1225">
        <v>18</v>
      </c>
    </row>
    <row r="1226" spans="1:23">
      <c r="A1226"/>
      <c r="B1226" t="s">
        <v>93</v>
      </c>
      <c r="C1226" t="s">
        <v>93</v>
      </c>
      <c r="D1226" t="s">
        <v>37</v>
      </c>
      <c r="E1226" t="s">
        <v>38</v>
      </c>
      <c r="F1226" t="str">
        <f>"0001327"</f>
        <v>0001327</v>
      </c>
      <c r="G1226">
        <v>1</v>
      </c>
      <c r="H1226" t="str">
        <f>"00000000"</f>
        <v>00000000</v>
      </c>
      <c r="I1226" t="s">
        <v>39</v>
      </c>
      <c r="J1226"/>
      <c r="K1226">
        <v>406.78</v>
      </c>
      <c r="L1226">
        <v>0.0</v>
      </c>
      <c r="M1226"/>
      <c r="N1226"/>
      <c r="O1226">
        <v>73.22</v>
      </c>
      <c r="P1226">
        <v>0.0</v>
      </c>
      <c r="Q1226">
        <v>480.0</v>
      </c>
      <c r="R1226"/>
      <c r="S1226"/>
      <c r="T1226"/>
      <c r="U1226"/>
      <c r="V1226"/>
      <c r="W1226">
        <v>18</v>
      </c>
    </row>
    <row r="1227" spans="1:23">
      <c r="A1227"/>
      <c r="B1227" t="s">
        <v>93</v>
      </c>
      <c r="C1227" t="s">
        <v>93</v>
      </c>
      <c r="D1227" t="s">
        <v>37</v>
      </c>
      <c r="E1227" t="s">
        <v>38</v>
      </c>
      <c r="F1227" t="str">
        <f>"0001328"</f>
        <v>0001328</v>
      </c>
      <c r="G1227">
        <v>1</v>
      </c>
      <c r="H1227" t="str">
        <f>"00000000"</f>
        <v>00000000</v>
      </c>
      <c r="I1227" t="s">
        <v>39</v>
      </c>
      <c r="J1227"/>
      <c r="K1227">
        <v>423.73</v>
      </c>
      <c r="L1227">
        <v>0.0</v>
      </c>
      <c r="M1227"/>
      <c r="N1227"/>
      <c r="O1227">
        <v>76.27</v>
      </c>
      <c r="P1227">
        <v>0.0</v>
      </c>
      <c r="Q1227">
        <v>500.0</v>
      </c>
      <c r="R1227"/>
      <c r="S1227"/>
      <c r="T1227"/>
      <c r="U1227"/>
      <c r="V1227"/>
      <c r="W1227">
        <v>18</v>
      </c>
    </row>
    <row r="1228" spans="1:23">
      <c r="A1228"/>
      <c r="B1228" t="s">
        <v>93</v>
      </c>
      <c r="C1228" t="s">
        <v>93</v>
      </c>
      <c r="D1228" t="s">
        <v>37</v>
      </c>
      <c r="E1228" t="s">
        <v>38</v>
      </c>
      <c r="F1228" t="str">
        <f>"0001329"</f>
        <v>0001329</v>
      </c>
      <c r="G1228">
        <v>1</v>
      </c>
      <c r="H1228" t="str">
        <f>"00000000"</f>
        <v>00000000</v>
      </c>
      <c r="I1228" t="s">
        <v>39</v>
      </c>
      <c r="J1228"/>
      <c r="K1228">
        <v>406.78</v>
      </c>
      <c r="L1228">
        <v>0.0</v>
      </c>
      <c r="M1228"/>
      <c r="N1228"/>
      <c r="O1228">
        <v>73.22</v>
      </c>
      <c r="P1228">
        <v>0.0</v>
      </c>
      <c r="Q1228">
        <v>480.0</v>
      </c>
      <c r="R1228"/>
      <c r="S1228"/>
      <c r="T1228"/>
      <c r="U1228"/>
      <c r="V1228"/>
      <c r="W1228">
        <v>18</v>
      </c>
    </row>
    <row r="1229" spans="1:23">
      <c r="A1229"/>
      <c r="B1229" t="s">
        <v>93</v>
      </c>
      <c r="C1229" t="s">
        <v>93</v>
      </c>
      <c r="D1229" t="s">
        <v>37</v>
      </c>
      <c r="E1229" t="s">
        <v>38</v>
      </c>
      <c r="F1229" t="str">
        <f>"0001330"</f>
        <v>0001330</v>
      </c>
      <c r="G1229">
        <v>1</v>
      </c>
      <c r="H1229" t="str">
        <f>"00000000"</f>
        <v>00000000</v>
      </c>
      <c r="I1229" t="s">
        <v>39</v>
      </c>
      <c r="J1229"/>
      <c r="K1229">
        <v>389.83</v>
      </c>
      <c r="L1229">
        <v>0.0</v>
      </c>
      <c r="M1229"/>
      <c r="N1229"/>
      <c r="O1229">
        <v>70.17</v>
      </c>
      <c r="P1229">
        <v>0.0</v>
      </c>
      <c r="Q1229">
        <v>460.0</v>
      </c>
      <c r="R1229"/>
      <c r="S1229"/>
      <c r="T1229"/>
      <c r="U1229"/>
      <c r="V1229"/>
      <c r="W1229">
        <v>18</v>
      </c>
    </row>
    <row r="1230" spans="1:23">
      <c r="A1230"/>
      <c r="B1230" t="s">
        <v>93</v>
      </c>
      <c r="C1230" t="s">
        <v>93</v>
      </c>
      <c r="D1230" t="s">
        <v>37</v>
      </c>
      <c r="E1230" t="s">
        <v>38</v>
      </c>
      <c r="F1230" t="str">
        <f>"0001331"</f>
        <v>0001331</v>
      </c>
      <c r="G1230">
        <v>1</v>
      </c>
      <c r="H1230" t="str">
        <f>"00000000"</f>
        <v>00000000</v>
      </c>
      <c r="I1230" t="s">
        <v>39</v>
      </c>
      <c r="J1230"/>
      <c r="K1230">
        <v>423.73</v>
      </c>
      <c r="L1230">
        <v>0.0</v>
      </c>
      <c r="M1230"/>
      <c r="N1230"/>
      <c r="O1230">
        <v>76.27</v>
      </c>
      <c r="P1230">
        <v>0.0</v>
      </c>
      <c r="Q1230">
        <v>500.0</v>
      </c>
      <c r="R1230"/>
      <c r="S1230"/>
      <c r="T1230"/>
      <c r="U1230"/>
      <c r="V1230"/>
      <c r="W1230">
        <v>18</v>
      </c>
    </row>
    <row r="1231" spans="1:23">
      <c r="A1231"/>
      <c r="B1231" t="s">
        <v>93</v>
      </c>
      <c r="C1231" t="s">
        <v>93</v>
      </c>
      <c r="D1231" t="s">
        <v>37</v>
      </c>
      <c r="E1231" t="s">
        <v>38</v>
      </c>
      <c r="F1231" t="str">
        <f>"0001332"</f>
        <v>0001332</v>
      </c>
      <c r="G1231">
        <v>1</v>
      </c>
      <c r="H1231" t="str">
        <f>"00000000"</f>
        <v>00000000</v>
      </c>
      <c r="I1231" t="s">
        <v>39</v>
      </c>
      <c r="J1231"/>
      <c r="K1231">
        <v>389.83</v>
      </c>
      <c r="L1231">
        <v>0.0</v>
      </c>
      <c r="M1231"/>
      <c r="N1231"/>
      <c r="O1231">
        <v>70.17</v>
      </c>
      <c r="P1231">
        <v>0.0</v>
      </c>
      <c r="Q1231">
        <v>460.0</v>
      </c>
      <c r="R1231"/>
      <c r="S1231"/>
      <c r="T1231"/>
      <c r="U1231"/>
      <c r="V1231"/>
      <c r="W1231">
        <v>18</v>
      </c>
    </row>
    <row r="1232" spans="1:23">
      <c r="A1232"/>
      <c r="B1232" t="s">
        <v>93</v>
      </c>
      <c r="C1232" t="s">
        <v>93</v>
      </c>
      <c r="D1232" t="s">
        <v>37</v>
      </c>
      <c r="E1232" t="s">
        <v>38</v>
      </c>
      <c r="F1232" t="str">
        <f>"0001333"</f>
        <v>0001333</v>
      </c>
      <c r="G1232">
        <v>1</v>
      </c>
      <c r="H1232" t="str">
        <f>"00000000"</f>
        <v>00000000</v>
      </c>
      <c r="I1232" t="s">
        <v>39</v>
      </c>
      <c r="J1232"/>
      <c r="K1232">
        <v>338.98</v>
      </c>
      <c r="L1232">
        <v>0.0</v>
      </c>
      <c r="M1232"/>
      <c r="N1232"/>
      <c r="O1232">
        <v>61.02</v>
      </c>
      <c r="P1232">
        <v>0.0</v>
      </c>
      <c r="Q1232">
        <v>400.0</v>
      </c>
      <c r="R1232"/>
      <c r="S1232"/>
      <c r="T1232"/>
      <c r="U1232"/>
      <c r="V1232"/>
      <c r="W1232">
        <v>18</v>
      </c>
    </row>
    <row r="1233" spans="1:23">
      <c r="A1233"/>
      <c r="B1233" t="s">
        <v>93</v>
      </c>
      <c r="C1233" t="s">
        <v>93</v>
      </c>
      <c r="D1233" t="s">
        <v>37</v>
      </c>
      <c r="E1233" t="s">
        <v>38</v>
      </c>
      <c r="F1233" t="str">
        <f>"0001334"</f>
        <v>0001334</v>
      </c>
      <c r="G1233">
        <v>1</v>
      </c>
      <c r="H1233" t="str">
        <f>"00000000"</f>
        <v>00000000</v>
      </c>
      <c r="I1233" t="s">
        <v>39</v>
      </c>
      <c r="J1233"/>
      <c r="K1233">
        <v>254.24</v>
      </c>
      <c r="L1233">
        <v>0.0</v>
      </c>
      <c r="M1233"/>
      <c r="N1233"/>
      <c r="O1233">
        <v>45.76</v>
      </c>
      <c r="P1233">
        <v>0.0</v>
      </c>
      <c r="Q1233">
        <v>300.0</v>
      </c>
      <c r="R1233"/>
      <c r="S1233"/>
      <c r="T1233"/>
      <c r="U1233"/>
      <c r="V1233"/>
      <c r="W1233">
        <v>18</v>
      </c>
    </row>
    <row r="1234" spans="1:23">
      <c r="A1234"/>
      <c r="B1234" t="s">
        <v>93</v>
      </c>
      <c r="C1234" t="s">
        <v>93</v>
      </c>
      <c r="D1234" t="s">
        <v>37</v>
      </c>
      <c r="E1234" t="s">
        <v>38</v>
      </c>
      <c r="F1234" t="str">
        <f>"0001335"</f>
        <v>0001335</v>
      </c>
      <c r="G1234">
        <v>1</v>
      </c>
      <c r="H1234" t="str">
        <f>"00000000"</f>
        <v>00000000</v>
      </c>
      <c r="I1234" t="s">
        <v>39</v>
      </c>
      <c r="J1234"/>
      <c r="K1234">
        <v>381.36</v>
      </c>
      <c r="L1234">
        <v>0.0</v>
      </c>
      <c r="M1234"/>
      <c r="N1234"/>
      <c r="O1234">
        <v>68.64</v>
      </c>
      <c r="P1234">
        <v>0.0</v>
      </c>
      <c r="Q1234">
        <v>450.0</v>
      </c>
      <c r="R1234"/>
      <c r="S1234"/>
      <c r="T1234"/>
      <c r="U1234"/>
      <c r="V1234"/>
      <c r="W1234">
        <v>18</v>
      </c>
    </row>
    <row r="1235" spans="1:23">
      <c r="A1235"/>
      <c r="B1235" t="s">
        <v>93</v>
      </c>
      <c r="C1235" t="s">
        <v>93</v>
      </c>
      <c r="D1235" t="s">
        <v>37</v>
      </c>
      <c r="E1235" t="s">
        <v>38</v>
      </c>
      <c r="F1235" t="str">
        <f>"0001336"</f>
        <v>0001336</v>
      </c>
      <c r="G1235">
        <v>1</v>
      </c>
      <c r="H1235" t="str">
        <f>"00000000"</f>
        <v>00000000</v>
      </c>
      <c r="I1235" t="s">
        <v>39</v>
      </c>
      <c r="J1235"/>
      <c r="K1235">
        <v>381.36</v>
      </c>
      <c r="L1235">
        <v>0.0</v>
      </c>
      <c r="M1235"/>
      <c r="N1235"/>
      <c r="O1235">
        <v>68.64</v>
      </c>
      <c r="P1235">
        <v>0.0</v>
      </c>
      <c r="Q1235">
        <v>450.0</v>
      </c>
      <c r="R1235"/>
      <c r="S1235"/>
      <c r="T1235"/>
      <c r="U1235"/>
      <c r="V1235"/>
      <c r="W1235">
        <v>18</v>
      </c>
    </row>
    <row r="1236" spans="1:23">
      <c r="A1236"/>
      <c r="B1236" t="s">
        <v>93</v>
      </c>
      <c r="C1236" t="s">
        <v>93</v>
      </c>
      <c r="D1236" t="s">
        <v>37</v>
      </c>
      <c r="E1236" t="s">
        <v>38</v>
      </c>
      <c r="F1236" t="str">
        <f>"0001337"</f>
        <v>0001337</v>
      </c>
      <c r="G1236">
        <v>1</v>
      </c>
      <c r="H1236" t="str">
        <f>"00000000"</f>
        <v>00000000</v>
      </c>
      <c r="I1236" t="s">
        <v>39</v>
      </c>
      <c r="J1236"/>
      <c r="K1236">
        <v>330.51</v>
      </c>
      <c r="L1236">
        <v>0.0</v>
      </c>
      <c r="M1236"/>
      <c r="N1236"/>
      <c r="O1236">
        <v>59.49</v>
      </c>
      <c r="P1236">
        <v>0.0</v>
      </c>
      <c r="Q1236">
        <v>390.0</v>
      </c>
      <c r="R1236"/>
      <c r="S1236"/>
      <c r="T1236"/>
      <c r="U1236"/>
      <c r="V1236"/>
      <c r="W1236">
        <v>18</v>
      </c>
    </row>
    <row r="1237" spans="1:23">
      <c r="A1237"/>
      <c r="B1237" t="s">
        <v>93</v>
      </c>
      <c r="C1237" t="s">
        <v>93</v>
      </c>
      <c r="D1237" t="s">
        <v>37</v>
      </c>
      <c r="E1237" t="s">
        <v>38</v>
      </c>
      <c r="F1237" t="str">
        <f>"0001338"</f>
        <v>0001338</v>
      </c>
      <c r="G1237">
        <v>1</v>
      </c>
      <c r="H1237" t="str">
        <f>"00000000"</f>
        <v>00000000</v>
      </c>
      <c r="I1237" t="s">
        <v>39</v>
      </c>
      <c r="J1237"/>
      <c r="K1237">
        <v>372.88</v>
      </c>
      <c r="L1237">
        <v>0.0</v>
      </c>
      <c r="M1237"/>
      <c r="N1237"/>
      <c r="O1237">
        <v>67.12</v>
      </c>
      <c r="P1237">
        <v>0.0</v>
      </c>
      <c r="Q1237">
        <v>440.0</v>
      </c>
      <c r="R1237"/>
      <c r="S1237"/>
      <c r="T1237"/>
      <c r="U1237"/>
      <c r="V1237"/>
      <c r="W1237">
        <v>18</v>
      </c>
    </row>
    <row r="1238" spans="1:23">
      <c r="A1238"/>
      <c r="B1238" t="s">
        <v>93</v>
      </c>
      <c r="C1238" t="s">
        <v>93</v>
      </c>
      <c r="D1238" t="s">
        <v>37</v>
      </c>
      <c r="E1238" t="s">
        <v>38</v>
      </c>
      <c r="F1238" t="str">
        <f>"0001339"</f>
        <v>0001339</v>
      </c>
      <c r="G1238">
        <v>1</v>
      </c>
      <c r="H1238" t="str">
        <f>"00000000"</f>
        <v>00000000</v>
      </c>
      <c r="I1238" t="s">
        <v>39</v>
      </c>
      <c r="J1238"/>
      <c r="K1238">
        <v>338.98</v>
      </c>
      <c r="L1238">
        <v>0.0</v>
      </c>
      <c r="M1238"/>
      <c r="N1238"/>
      <c r="O1238">
        <v>61.02</v>
      </c>
      <c r="P1238">
        <v>0.0</v>
      </c>
      <c r="Q1238">
        <v>400.0</v>
      </c>
      <c r="R1238"/>
      <c r="S1238"/>
      <c r="T1238"/>
      <c r="U1238"/>
      <c r="V1238"/>
      <c r="W1238">
        <v>18</v>
      </c>
    </row>
    <row r="1239" spans="1:23">
      <c r="A1239"/>
      <c r="B1239" t="s">
        <v>93</v>
      </c>
      <c r="C1239" t="s">
        <v>93</v>
      </c>
      <c r="D1239" t="s">
        <v>37</v>
      </c>
      <c r="E1239" t="s">
        <v>38</v>
      </c>
      <c r="F1239" t="str">
        <f>"0001340"</f>
        <v>0001340</v>
      </c>
      <c r="G1239">
        <v>1</v>
      </c>
      <c r="H1239" t="str">
        <f>"00000000"</f>
        <v>00000000</v>
      </c>
      <c r="I1239" t="s">
        <v>39</v>
      </c>
      <c r="J1239"/>
      <c r="K1239">
        <v>381.36</v>
      </c>
      <c r="L1239">
        <v>0.0</v>
      </c>
      <c r="M1239"/>
      <c r="N1239"/>
      <c r="O1239">
        <v>68.64</v>
      </c>
      <c r="P1239">
        <v>0.0</v>
      </c>
      <c r="Q1239">
        <v>450.0</v>
      </c>
      <c r="R1239"/>
      <c r="S1239"/>
      <c r="T1239"/>
      <c r="U1239"/>
      <c r="V1239"/>
      <c r="W1239">
        <v>18</v>
      </c>
    </row>
    <row r="1240" spans="1:23">
      <c r="A1240"/>
      <c r="B1240" t="s">
        <v>93</v>
      </c>
      <c r="C1240" t="s">
        <v>93</v>
      </c>
      <c r="D1240" t="s">
        <v>37</v>
      </c>
      <c r="E1240" t="s">
        <v>38</v>
      </c>
      <c r="F1240" t="str">
        <f>"0001341"</f>
        <v>0001341</v>
      </c>
      <c r="G1240">
        <v>1</v>
      </c>
      <c r="H1240" t="str">
        <f>"00000000"</f>
        <v>00000000</v>
      </c>
      <c r="I1240" t="s">
        <v>39</v>
      </c>
      <c r="J1240"/>
      <c r="K1240">
        <v>406.78</v>
      </c>
      <c r="L1240">
        <v>0.0</v>
      </c>
      <c r="M1240"/>
      <c r="N1240"/>
      <c r="O1240">
        <v>73.22</v>
      </c>
      <c r="P1240">
        <v>0.0</v>
      </c>
      <c r="Q1240">
        <v>480.0</v>
      </c>
      <c r="R1240"/>
      <c r="S1240"/>
      <c r="T1240"/>
      <c r="U1240"/>
      <c r="V1240"/>
      <c r="W1240">
        <v>18</v>
      </c>
    </row>
    <row r="1241" spans="1:23">
      <c r="A1241"/>
      <c r="B1241" t="s">
        <v>93</v>
      </c>
      <c r="C1241" t="s">
        <v>93</v>
      </c>
      <c r="D1241" t="s">
        <v>37</v>
      </c>
      <c r="E1241" t="s">
        <v>38</v>
      </c>
      <c r="F1241" t="str">
        <f>"0001342"</f>
        <v>0001342</v>
      </c>
      <c r="G1241">
        <v>1</v>
      </c>
      <c r="H1241" t="str">
        <f>"00000000"</f>
        <v>00000000</v>
      </c>
      <c r="I1241" t="s">
        <v>39</v>
      </c>
      <c r="J1241"/>
      <c r="K1241">
        <v>406.78</v>
      </c>
      <c r="L1241">
        <v>0.0</v>
      </c>
      <c r="M1241"/>
      <c r="N1241"/>
      <c r="O1241">
        <v>73.22</v>
      </c>
      <c r="P1241">
        <v>0.0</v>
      </c>
      <c r="Q1241">
        <v>480.0</v>
      </c>
      <c r="R1241"/>
      <c r="S1241"/>
      <c r="T1241"/>
      <c r="U1241"/>
      <c r="V1241"/>
      <c r="W1241">
        <v>18</v>
      </c>
    </row>
    <row r="1242" spans="1:23">
      <c r="A1242"/>
      <c r="B1242" t="s">
        <v>93</v>
      </c>
      <c r="C1242" t="s">
        <v>93</v>
      </c>
      <c r="D1242" t="s">
        <v>37</v>
      </c>
      <c r="E1242" t="s">
        <v>38</v>
      </c>
      <c r="F1242" t="str">
        <f>"0001343"</f>
        <v>0001343</v>
      </c>
      <c r="G1242">
        <v>1</v>
      </c>
      <c r="H1242" t="str">
        <f>"00000000"</f>
        <v>00000000</v>
      </c>
      <c r="I1242" t="s">
        <v>39</v>
      </c>
      <c r="J1242"/>
      <c r="K1242">
        <v>415.25</v>
      </c>
      <c r="L1242">
        <v>0.0</v>
      </c>
      <c r="M1242"/>
      <c r="N1242"/>
      <c r="O1242">
        <v>74.75</v>
      </c>
      <c r="P1242">
        <v>0.0</v>
      </c>
      <c r="Q1242">
        <v>490.0</v>
      </c>
      <c r="R1242"/>
      <c r="S1242"/>
      <c r="T1242"/>
      <c r="U1242"/>
      <c r="V1242"/>
      <c r="W1242">
        <v>18</v>
      </c>
    </row>
    <row r="1243" spans="1:23">
      <c r="A1243"/>
      <c r="B1243" t="s">
        <v>94</v>
      </c>
      <c r="C1243" t="s">
        <v>94</v>
      </c>
      <c r="D1243" t="s">
        <v>37</v>
      </c>
      <c r="E1243" t="s">
        <v>38</v>
      </c>
      <c r="F1243" t="str">
        <f>"0001344"</f>
        <v>0001344</v>
      </c>
      <c r="G1243">
        <v>1</v>
      </c>
      <c r="H1243" t="str">
        <f>"00000000"</f>
        <v>00000000</v>
      </c>
      <c r="I1243" t="s">
        <v>39</v>
      </c>
      <c r="J1243"/>
      <c r="K1243">
        <v>296.61</v>
      </c>
      <c r="L1243">
        <v>0.0</v>
      </c>
      <c r="M1243"/>
      <c r="N1243"/>
      <c r="O1243">
        <v>53.39</v>
      </c>
      <c r="P1243">
        <v>0.0</v>
      </c>
      <c r="Q1243">
        <v>350.0</v>
      </c>
      <c r="R1243"/>
      <c r="S1243"/>
      <c r="T1243"/>
      <c r="U1243"/>
      <c r="V1243"/>
      <c r="W1243">
        <v>18</v>
      </c>
    </row>
    <row r="1244" spans="1:23">
      <c r="A1244"/>
      <c r="B1244" t="s">
        <v>94</v>
      </c>
      <c r="C1244" t="s">
        <v>94</v>
      </c>
      <c r="D1244" t="s">
        <v>37</v>
      </c>
      <c r="E1244" t="s">
        <v>38</v>
      </c>
      <c r="F1244" t="str">
        <f>"0001345"</f>
        <v>0001345</v>
      </c>
      <c r="G1244">
        <v>1</v>
      </c>
      <c r="H1244" t="str">
        <f>"00000000"</f>
        <v>00000000</v>
      </c>
      <c r="I1244" t="s">
        <v>39</v>
      </c>
      <c r="J1244"/>
      <c r="K1244">
        <v>254.24</v>
      </c>
      <c r="L1244">
        <v>0.0</v>
      </c>
      <c r="M1244"/>
      <c r="N1244"/>
      <c r="O1244">
        <v>45.76</v>
      </c>
      <c r="P1244">
        <v>0.0</v>
      </c>
      <c r="Q1244">
        <v>300.0</v>
      </c>
      <c r="R1244"/>
      <c r="S1244"/>
      <c r="T1244"/>
      <c r="U1244"/>
      <c r="V1244"/>
      <c r="W1244">
        <v>18</v>
      </c>
    </row>
    <row r="1245" spans="1:23">
      <c r="A1245"/>
      <c r="B1245" t="s">
        <v>94</v>
      </c>
      <c r="C1245" t="s">
        <v>94</v>
      </c>
      <c r="D1245" t="s">
        <v>37</v>
      </c>
      <c r="E1245" t="s">
        <v>38</v>
      </c>
      <c r="F1245" t="str">
        <f>"0001346"</f>
        <v>0001346</v>
      </c>
      <c r="G1245">
        <v>1</v>
      </c>
      <c r="H1245" t="str">
        <f>"00000000"</f>
        <v>00000000</v>
      </c>
      <c r="I1245" t="s">
        <v>39</v>
      </c>
      <c r="J1245"/>
      <c r="K1245">
        <v>355.93</v>
      </c>
      <c r="L1245">
        <v>0.0</v>
      </c>
      <c r="M1245"/>
      <c r="N1245"/>
      <c r="O1245">
        <v>64.07</v>
      </c>
      <c r="P1245">
        <v>0.0</v>
      </c>
      <c r="Q1245">
        <v>420.0</v>
      </c>
      <c r="R1245"/>
      <c r="S1245"/>
      <c r="T1245"/>
      <c r="U1245"/>
      <c r="V1245"/>
      <c r="W1245">
        <v>18</v>
      </c>
    </row>
    <row r="1246" spans="1:23">
      <c r="A1246"/>
      <c r="B1246" t="s">
        <v>94</v>
      </c>
      <c r="C1246" t="s">
        <v>94</v>
      </c>
      <c r="D1246" t="s">
        <v>37</v>
      </c>
      <c r="E1246" t="s">
        <v>38</v>
      </c>
      <c r="F1246" t="str">
        <f>"0001347"</f>
        <v>0001347</v>
      </c>
      <c r="G1246">
        <v>1</v>
      </c>
      <c r="H1246" t="str">
        <f>"00000000"</f>
        <v>00000000</v>
      </c>
      <c r="I1246" t="s">
        <v>39</v>
      </c>
      <c r="J1246"/>
      <c r="K1246">
        <v>237.29</v>
      </c>
      <c r="L1246">
        <v>0.0</v>
      </c>
      <c r="M1246"/>
      <c r="N1246"/>
      <c r="O1246">
        <v>42.71</v>
      </c>
      <c r="P1246">
        <v>0.0</v>
      </c>
      <c r="Q1246">
        <v>280.0</v>
      </c>
      <c r="R1246"/>
      <c r="S1246"/>
      <c r="T1246"/>
      <c r="U1246"/>
      <c r="V1246"/>
      <c r="W1246">
        <v>18</v>
      </c>
    </row>
    <row r="1247" spans="1:23">
      <c r="A1247"/>
      <c r="B1247" t="s">
        <v>94</v>
      </c>
      <c r="C1247" t="s">
        <v>94</v>
      </c>
      <c r="D1247" t="s">
        <v>37</v>
      </c>
      <c r="E1247" t="s">
        <v>38</v>
      </c>
      <c r="F1247" t="str">
        <f>"0001348"</f>
        <v>0001348</v>
      </c>
      <c r="G1247">
        <v>1</v>
      </c>
      <c r="H1247" t="str">
        <f>"00000000"</f>
        <v>00000000</v>
      </c>
      <c r="I1247" t="s">
        <v>39</v>
      </c>
      <c r="J1247"/>
      <c r="K1247">
        <v>355.93</v>
      </c>
      <c r="L1247">
        <v>0.0</v>
      </c>
      <c r="M1247"/>
      <c r="N1247"/>
      <c r="O1247">
        <v>64.07</v>
      </c>
      <c r="P1247">
        <v>0.0</v>
      </c>
      <c r="Q1247">
        <v>420.0</v>
      </c>
      <c r="R1247"/>
      <c r="S1247"/>
      <c r="T1247"/>
      <c r="U1247"/>
      <c r="V1247"/>
      <c r="W1247">
        <v>18</v>
      </c>
    </row>
    <row r="1248" spans="1:23">
      <c r="A1248"/>
      <c r="B1248" t="s">
        <v>94</v>
      </c>
      <c r="C1248" t="s">
        <v>94</v>
      </c>
      <c r="D1248" t="s">
        <v>37</v>
      </c>
      <c r="E1248" t="s">
        <v>38</v>
      </c>
      <c r="F1248" t="str">
        <f>"0001349"</f>
        <v>0001349</v>
      </c>
      <c r="G1248">
        <v>1</v>
      </c>
      <c r="H1248" t="str">
        <f>"00000000"</f>
        <v>00000000</v>
      </c>
      <c r="I1248" t="s">
        <v>39</v>
      </c>
      <c r="J1248"/>
      <c r="K1248">
        <v>372.88</v>
      </c>
      <c r="L1248">
        <v>0.0</v>
      </c>
      <c r="M1248"/>
      <c r="N1248"/>
      <c r="O1248">
        <v>67.12</v>
      </c>
      <c r="P1248">
        <v>0.0</v>
      </c>
      <c r="Q1248">
        <v>440.0</v>
      </c>
      <c r="R1248"/>
      <c r="S1248"/>
      <c r="T1248"/>
      <c r="U1248"/>
      <c r="V1248"/>
      <c r="W1248">
        <v>18</v>
      </c>
    </row>
    <row r="1249" spans="1:23">
      <c r="A1249"/>
      <c r="B1249" t="s">
        <v>94</v>
      </c>
      <c r="C1249" t="s">
        <v>94</v>
      </c>
      <c r="D1249" t="s">
        <v>37</v>
      </c>
      <c r="E1249" t="s">
        <v>38</v>
      </c>
      <c r="F1249" t="str">
        <f>"0001350"</f>
        <v>0001350</v>
      </c>
      <c r="G1249">
        <v>1</v>
      </c>
      <c r="H1249" t="str">
        <f>"00000000"</f>
        <v>00000000</v>
      </c>
      <c r="I1249" t="s">
        <v>39</v>
      </c>
      <c r="J1249"/>
      <c r="K1249">
        <v>406.78</v>
      </c>
      <c r="L1249">
        <v>0.0</v>
      </c>
      <c r="M1249"/>
      <c r="N1249"/>
      <c r="O1249">
        <v>73.22</v>
      </c>
      <c r="P1249">
        <v>0.0</v>
      </c>
      <c r="Q1249">
        <v>480.0</v>
      </c>
      <c r="R1249"/>
      <c r="S1249"/>
      <c r="T1249"/>
      <c r="U1249"/>
      <c r="V1249"/>
      <c r="W1249">
        <v>18</v>
      </c>
    </row>
    <row r="1250" spans="1:23">
      <c r="A1250"/>
      <c r="B1250" t="s">
        <v>94</v>
      </c>
      <c r="C1250" t="s">
        <v>94</v>
      </c>
      <c r="D1250" t="s">
        <v>37</v>
      </c>
      <c r="E1250" t="s">
        <v>38</v>
      </c>
      <c r="F1250" t="str">
        <f>"0001351"</f>
        <v>0001351</v>
      </c>
      <c r="G1250">
        <v>1</v>
      </c>
      <c r="H1250" t="str">
        <f>"00000000"</f>
        <v>00000000</v>
      </c>
      <c r="I1250" t="s">
        <v>39</v>
      </c>
      <c r="J1250"/>
      <c r="K1250">
        <v>381.36</v>
      </c>
      <c r="L1250">
        <v>0.0</v>
      </c>
      <c r="M1250"/>
      <c r="N1250"/>
      <c r="O1250">
        <v>68.64</v>
      </c>
      <c r="P1250">
        <v>0.0</v>
      </c>
      <c r="Q1250">
        <v>450.0</v>
      </c>
      <c r="R1250"/>
      <c r="S1250"/>
      <c r="T1250"/>
      <c r="U1250"/>
      <c r="V1250"/>
      <c r="W1250">
        <v>18</v>
      </c>
    </row>
    <row r="1251" spans="1:23">
      <c r="A1251"/>
      <c r="B1251" t="s">
        <v>94</v>
      </c>
      <c r="C1251" t="s">
        <v>94</v>
      </c>
      <c r="D1251" t="s">
        <v>37</v>
      </c>
      <c r="E1251" t="s">
        <v>38</v>
      </c>
      <c r="F1251" t="str">
        <f>"0001352"</f>
        <v>0001352</v>
      </c>
      <c r="G1251">
        <v>1</v>
      </c>
      <c r="H1251" t="str">
        <f>"00000000"</f>
        <v>00000000</v>
      </c>
      <c r="I1251" t="s">
        <v>39</v>
      </c>
      <c r="J1251"/>
      <c r="K1251">
        <v>372.88</v>
      </c>
      <c r="L1251">
        <v>0.0</v>
      </c>
      <c r="M1251"/>
      <c r="N1251"/>
      <c r="O1251">
        <v>67.12</v>
      </c>
      <c r="P1251">
        <v>0.0</v>
      </c>
      <c r="Q1251">
        <v>440.0</v>
      </c>
      <c r="R1251"/>
      <c r="S1251"/>
      <c r="T1251"/>
      <c r="U1251"/>
      <c r="V1251"/>
      <c r="W1251">
        <v>18</v>
      </c>
    </row>
    <row r="1252" spans="1:23">
      <c r="A1252"/>
      <c r="B1252" t="s">
        <v>94</v>
      </c>
      <c r="C1252" t="s">
        <v>94</v>
      </c>
      <c r="D1252" t="s">
        <v>37</v>
      </c>
      <c r="E1252" t="s">
        <v>38</v>
      </c>
      <c r="F1252" t="str">
        <f>"0001353"</f>
        <v>0001353</v>
      </c>
      <c r="G1252">
        <v>1</v>
      </c>
      <c r="H1252" t="str">
        <f>"00000000"</f>
        <v>00000000</v>
      </c>
      <c r="I1252" t="s">
        <v>39</v>
      </c>
      <c r="J1252"/>
      <c r="K1252">
        <v>305.08</v>
      </c>
      <c r="L1252">
        <v>0.0</v>
      </c>
      <c r="M1252"/>
      <c r="N1252"/>
      <c r="O1252">
        <v>54.92</v>
      </c>
      <c r="P1252">
        <v>0.0</v>
      </c>
      <c r="Q1252">
        <v>360.0</v>
      </c>
      <c r="R1252"/>
      <c r="S1252"/>
      <c r="T1252"/>
      <c r="U1252"/>
      <c r="V1252"/>
      <c r="W1252">
        <v>18</v>
      </c>
    </row>
    <row r="1253" spans="1:23">
      <c r="A1253"/>
      <c r="B1253" t="s">
        <v>94</v>
      </c>
      <c r="C1253" t="s">
        <v>94</v>
      </c>
      <c r="D1253" t="s">
        <v>37</v>
      </c>
      <c r="E1253" t="s">
        <v>38</v>
      </c>
      <c r="F1253" t="str">
        <f>"0001354"</f>
        <v>0001354</v>
      </c>
      <c r="G1253">
        <v>1</v>
      </c>
      <c r="H1253" t="str">
        <f>"00000000"</f>
        <v>00000000</v>
      </c>
      <c r="I1253" t="s">
        <v>39</v>
      </c>
      <c r="J1253"/>
      <c r="K1253">
        <v>355.93</v>
      </c>
      <c r="L1253">
        <v>0.0</v>
      </c>
      <c r="M1253"/>
      <c r="N1253"/>
      <c r="O1253">
        <v>64.07</v>
      </c>
      <c r="P1253">
        <v>0.0</v>
      </c>
      <c r="Q1253">
        <v>420.0</v>
      </c>
      <c r="R1253"/>
      <c r="S1253"/>
      <c r="T1253"/>
      <c r="U1253"/>
      <c r="V1253"/>
      <c r="W1253">
        <v>18</v>
      </c>
    </row>
    <row r="1254" spans="1:23">
      <c r="A1254"/>
      <c r="B1254" t="s">
        <v>94</v>
      </c>
      <c r="C1254" t="s">
        <v>94</v>
      </c>
      <c r="D1254" t="s">
        <v>37</v>
      </c>
      <c r="E1254" t="s">
        <v>38</v>
      </c>
      <c r="F1254" t="str">
        <f>"0001355"</f>
        <v>0001355</v>
      </c>
      <c r="G1254">
        <v>1</v>
      </c>
      <c r="H1254" t="str">
        <f>"00000000"</f>
        <v>00000000</v>
      </c>
      <c r="I1254" t="s">
        <v>39</v>
      </c>
      <c r="J1254"/>
      <c r="K1254">
        <v>322.03</v>
      </c>
      <c r="L1254">
        <v>0.0</v>
      </c>
      <c r="M1254"/>
      <c r="N1254"/>
      <c r="O1254">
        <v>57.97</v>
      </c>
      <c r="P1254">
        <v>0.0</v>
      </c>
      <c r="Q1254">
        <v>380.0</v>
      </c>
      <c r="R1254"/>
      <c r="S1254"/>
      <c r="T1254"/>
      <c r="U1254"/>
      <c r="V1254"/>
      <c r="W1254">
        <v>18</v>
      </c>
    </row>
    <row r="1255" spans="1:23">
      <c r="A1255"/>
      <c r="B1255" t="s">
        <v>94</v>
      </c>
      <c r="C1255" t="s">
        <v>94</v>
      </c>
      <c r="D1255" t="s">
        <v>37</v>
      </c>
      <c r="E1255" t="s">
        <v>38</v>
      </c>
      <c r="F1255" t="str">
        <f>"0001356"</f>
        <v>0001356</v>
      </c>
      <c r="G1255">
        <v>1</v>
      </c>
      <c r="H1255" t="str">
        <f>"00000000"</f>
        <v>00000000</v>
      </c>
      <c r="I1255" t="s">
        <v>39</v>
      </c>
      <c r="J1255"/>
      <c r="K1255">
        <v>423.73</v>
      </c>
      <c r="L1255">
        <v>0.0</v>
      </c>
      <c r="M1255"/>
      <c r="N1255"/>
      <c r="O1255">
        <v>76.27</v>
      </c>
      <c r="P1255">
        <v>0.0</v>
      </c>
      <c r="Q1255">
        <v>500.0</v>
      </c>
      <c r="R1255"/>
      <c r="S1255"/>
      <c r="T1255"/>
      <c r="U1255"/>
      <c r="V1255"/>
      <c r="W1255">
        <v>18</v>
      </c>
    </row>
    <row r="1256" spans="1:23">
      <c r="A1256"/>
      <c r="B1256" t="s">
        <v>94</v>
      </c>
      <c r="C1256" t="s">
        <v>94</v>
      </c>
      <c r="D1256" t="s">
        <v>37</v>
      </c>
      <c r="E1256" t="s">
        <v>38</v>
      </c>
      <c r="F1256" t="str">
        <f>"0001357"</f>
        <v>0001357</v>
      </c>
      <c r="G1256">
        <v>1</v>
      </c>
      <c r="H1256" t="str">
        <f>"00000000"</f>
        <v>00000000</v>
      </c>
      <c r="I1256" t="s">
        <v>39</v>
      </c>
      <c r="J1256"/>
      <c r="K1256">
        <v>406.78</v>
      </c>
      <c r="L1256">
        <v>0.0</v>
      </c>
      <c r="M1256"/>
      <c r="N1256"/>
      <c r="O1256">
        <v>73.22</v>
      </c>
      <c r="P1256">
        <v>0.0</v>
      </c>
      <c r="Q1256">
        <v>480.0</v>
      </c>
      <c r="R1256"/>
      <c r="S1256"/>
      <c r="T1256"/>
      <c r="U1256"/>
      <c r="V1256"/>
      <c r="W1256">
        <v>18</v>
      </c>
    </row>
    <row r="1257" spans="1:23">
      <c r="A1257"/>
      <c r="B1257" t="s">
        <v>94</v>
      </c>
      <c r="C1257" t="s">
        <v>94</v>
      </c>
      <c r="D1257" t="s">
        <v>37</v>
      </c>
      <c r="E1257" t="s">
        <v>38</v>
      </c>
      <c r="F1257" t="str">
        <f>"0001358"</f>
        <v>0001358</v>
      </c>
      <c r="G1257">
        <v>1</v>
      </c>
      <c r="H1257" t="str">
        <f>"00000000"</f>
        <v>00000000</v>
      </c>
      <c r="I1257" t="s">
        <v>39</v>
      </c>
      <c r="J1257"/>
      <c r="K1257">
        <v>296.61</v>
      </c>
      <c r="L1257">
        <v>0.0</v>
      </c>
      <c r="M1257"/>
      <c r="N1257"/>
      <c r="O1257">
        <v>53.39</v>
      </c>
      <c r="P1257">
        <v>0.0</v>
      </c>
      <c r="Q1257">
        <v>350.0</v>
      </c>
      <c r="R1257"/>
      <c r="S1257"/>
      <c r="T1257"/>
      <c r="U1257"/>
      <c r="V1257"/>
      <c r="W1257">
        <v>18</v>
      </c>
    </row>
    <row r="1258" spans="1:23">
      <c r="A1258"/>
      <c r="B1258" t="s">
        <v>94</v>
      </c>
      <c r="C1258" t="s">
        <v>94</v>
      </c>
      <c r="D1258" t="s">
        <v>37</v>
      </c>
      <c r="E1258" t="s">
        <v>38</v>
      </c>
      <c r="F1258" t="str">
        <f>"0001359"</f>
        <v>0001359</v>
      </c>
      <c r="G1258">
        <v>1</v>
      </c>
      <c r="H1258" t="str">
        <f>"00000000"</f>
        <v>00000000</v>
      </c>
      <c r="I1258" t="s">
        <v>39</v>
      </c>
      <c r="J1258"/>
      <c r="K1258">
        <v>355.93</v>
      </c>
      <c r="L1258">
        <v>0.0</v>
      </c>
      <c r="M1258"/>
      <c r="N1258"/>
      <c r="O1258">
        <v>64.07</v>
      </c>
      <c r="P1258">
        <v>0.0</v>
      </c>
      <c r="Q1258">
        <v>420.0</v>
      </c>
      <c r="R1258"/>
      <c r="S1258"/>
      <c r="T1258"/>
      <c r="U1258"/>
      <c r="V1258"/>
      <c r="W1258">
        <v>18</v>
      </c>
    </row>
    <row r="1259" spans="1:23">
      <c r="A1259"/>
      <c r="B1259" t="s">
        <v>94</v>
      </c>
      <c r="C1259" t="s">
        <v>94</v>
      </c>
      <c r="D1259" t="s">
        <v>37</v>
      </c>
      <c r="E1259" t="s">
        <v>38</v>
      </c>
      <c r="F1259" t="str">
        <f>"0001360"</f>
        <v>0001360</v>
      </c>
      <c r="G1259">
        <v>1</v>
      </c>
      <c r="H1259" t="str">
        <f>"00000000"</f>
        <v>00000000</v>
      </c>
      <c r="I1259" t="s">
        <v>39</v>
      </c>
      <c r="J1259"/>
      <c r="K1259">
        <v>381.36</v>
      </c>
      <c r="L1259">
        <v>0.0</v>
      </c>
      <c r="M1259"/>
      <c r="N1259"/>
      <c r="O1259">
        <v>68.64</v>
      </c>
      <c r="P1259">
        <v>0.0</v>
      </c>
      <c r="Q1259">
        <v>450.0</v>
      </c>
      <c r="R1259"/>
      <c r="S1259"/>
      <c r="T1259"/>
      <c r="U1259"/>
      <c r="V1259"/>
      <c r="W1259">
        <v>18</v>
      </c>
    </row>
    <row r="1260" spans="1:23">
      <c r="A1260"/>
      <c r="B1260" t="s">
        <v>94</v>
      </c>
      <c r="C1260" t="s">
        <v>94</v>
      </c>
      <c r="D1260" t="s">
        <v>37</v>
      </c>
      <c r="E1260" t="s">
        <v>38</v>
      </c>
      <c r="F1260" t="str">
        <f>"0001361"</f>
        <v>0001361</v>
      </c>
      <c r="G1260">
        <v>1</v>
      </c>
      <c r="H1260" t="str">
        <f>"00000000"</f>
        <v>00000000</v>
      </c>
      <c r="I1260" t="s">
        <v>39</v>
      </c>
      <c r="J1260"/>
      <c r="K1260">
        <v>254.24</v>
      </c>
      <c r="L1260">
        <v>0.0</v>
      </c>
      <c r="M1260"/>
      <c r="N1260"/>
      <c r="O1260">
        <v>45.76</v>
      </c>
      <c r="P1260">
        <v>0.0</v>
      </c>
      <c r="Q1260">
        <v>300.0</v>
      </c>
      <c r="R1260"/>
      <c r="S1260"/>
      <c r="T1260"/>
      <c r="U1260"/>
      <c r="V1260"/>
      <c r="W1260">
        <v>18</v>
      </c>
    </row>
    <row r="1261" spans="1:23">
      <c r="A1261"/>
      <c r="B1261" t="s">
        <v>94</v>
      </c>
      <c r="C1261" t="s">
        <v>94</v>
      </c>
      <c r="D1261" t="s">
        <v>37</v>
      </c>
      <c r="E1261" t="s">
        <v>38</v>
      </c>
      <c r="F1261" t="str">
        <f>"0001362"</f>
        <v>0001362</v>
      </c>
      <c r="G1261">
        <v>1</v>
      </c>
      <c r="H1261" t="str">
        <f>"00000000"</f>
        <v>00000000</v>
      </c>
      <c r="I1261" t="s">
        <v>39</v>
      </c>
      <c r="J1261"/>
      <c r="K1261">
        <v>381.36</v>
      </c>
      <c r="L1261">
        <v>0.0</v>
      </c>
      <c r="M1261"/>
      <c r="N1261"/>
      <c r="O1261">
        <v>68.64</v>
      </c>
      <c r="P1261">
        <v>0.0</v>
      </c>
      <c r="Q1261">
        <v>450.0</v>
      </c>
      <c r="R1261"/>
      <c r="S1261"/>
      <c r="T1261"/>
      <c r="U1261"/>
      <c r="V1261"/>
      <c r="W1261">
        <v>18</v>
      </c>
    </row>
    <row r="1262" spans="1:23">
      <c r="A1262"/>
      <c r="B1262" t="s">
        <v>94</v>
      </c>
      <c r="C1262" t="s">
        <v>94</v>
      </c>
      <c r="D1262" t="s">
        <v>37</v>
      </c>
      <c r="E1262" t="s">
        <v>38</v>
      </c>
      <c r="F1262" t="str">
        <f>"0001363"</f>
        <v>0001363</v>
      </c>
      <c r="G1262">
        <v>1</v>
      </c>
      <c r="H1262" t="str">
        <f>"00000000"</f>
        <v>00000000</v>
      </c>
      <c r="I1262" t="s">
        <v>39</v>
      </c>
      <c r="J1262"/>
      <c r="K1262">
        <v>406.78</v>
      </c>
      <c r="L1262">
        <v>0.0</v>
      </c>
      <c r="M1262"/>
      <c r="N1262"/>
      <c r="O1262">
        <v>73.22</v>
      </c>
      <c r="P1262">
        <v>0.0</v>
      </c>
      <c r="Q1262">
        <v>480.0</v>
      </c>
      <c r="R1262"/>
      <c r="S1262"/>
      <c r="T1262"/>
      <c r="U1262"/>
      <c r="V1262"/>
      <c r="W1262">
        <v>18</v>
      </c>
    </row>
    <row r="1263" spans="1:23">
      <c r="A1263"/>
      <c r="B1263" t="s">
        <v>94</v>
      </c>
      <c r="C1263" t="s">
        <v>94</v>
      </c>
      <c r="D1263" t="s">
        <v>37</v>
      </c>
      <c r="E1263" t="s">
        <v>38</v>
      </c>
      <c r="F1263" t="str">
        <f>"0001364"</f>
        <v>0001364</v>
      </c>
      <c r="G1263">
        <v>1</v>
      </c>
      <c r="H1263" t="str">
        <f>"00000000"</f>
        <v>00000000</v>
      </c>
      <c r="I1263" t="s">
        <v>39</v>
      </c>
      <c r="J1263"/>
      <c r="K1263">
        <v>372.88</v>
      </c>
      <c r="L1263">
        <v>0.0</v>
      </c>
      <c r="M1263"/>
      <c r="N1263"/>
      <c r="O1263">
        <v>67.12</v>
      </c>
      <c r="P1263">
        <v>0.0</v>
      </c>
      <c r="Q1263">
        <v>440.0</v>
      </c>
      <c r="R1263"/>
      <c r="S1263"/>
      <c r="T1263"/>
      <c r="U1263"/>
      <c r="V1263"/>
      <c r="W1263">
        <v>18</v>
      </c>
    </row>
    <row r="1264" spans="1:23">
      <c r="A1264"/>
      <c r="B1264" t="s">
        <v>94</v>
      </c>
      <c r="C1264" t="s">
        <v>94</v>
      </c>
      <c r="D1264" t="s">
        <v>37</v>
      </c>
      <c r="E1264" t="s">
        <v>38</v>
      </c>
      <c r="F1264" t="str">
        <f>"0001365"</f>
        <v>0001365</v>
      </c>
      <c r="G1264">
        <v>1</v>
      </c>
      <c r="H1264" t="str">
        <f>"00000000"</f>
        <v>00000000</v>
      </c>
      <c r="I1264" t="s">
        <v>39</v>
      </c>
      <c r="J1264"/>
      <c r="K1264">
        <v>355.93</v>
      </c>
      <c r="L1264">
        <v>0.0</v>
      </c>
      <c r="M1264"/>
      <c r="N1264"/>
      <c r="O1264">
        <v>64.07</v>
      </c>
      <c r="P1264">
        <v>0.0</v>
      </c>
      <c r="Q1264">
        <v>420.0</v>
      </c>
      <c r="R1264"/>
      <c r="S1264"/>
      <c r="T1264"/>
      <c r="U1264"/>
      <c r="V1264"/>
      <c r="W1264">
        <v>18</v>
      </c>
    </row>
    <row r="1265" spans="1:23">
      <c r="A1265"/>
      <c r="B1265" t="s">
        <v>94</v>
      </c>
      <c r="C1265" t="s">
        <v>94</v>
      </c>
      <c r="D1265" t="s">
        <v>37</v>
      </c>
      <c r="E1265" t="s">
        <v>38</v>
      </c>
      <c r="F1265" t="str">
        <f>"0001366"</f>
        <v>0001366</v>
      </c>
      <c r="G1265">
        <v>1</v>
      </c>
      <c r="H1265" t="str">
        <f>"00000000"</f>
        <v>00000000</v>
      </c>
      <c r="I1265" t="s">
        <v>39</v>
      </c>
      <c r="J1265"/>
      <c r="K1265">
        <v>296.61</v>
      </c>
      <c r="L1265">
        <v>0.0</v>
      </c>
      <c r="M1265"/>
      <c r="N1265"/>
      <c r="O1265">
        <v>53.39</v>
      </c>
      <c r="P1265">
        <v>0.0</v>
      </c>
      <c r="Q1265">
        <v>350.0</v>
      </c>
      <c r="R1265"/>
      <c r="S1265"/>
      <c r="T1265"/>
      <c r="U1265"/>
      <c r="V1265"/>
      <c r="W1265">
        <v>18</v>
      </c>
    </row>
    <row r="1266" spans="1:23">
      <c r="A1266"/>
      <c r="B1266" t="s">
        <v>94</v>
      </c>
      <c r="C1266" t="s">
        <v>94</v>
      </c>
      <c r="D1266" t="s">
        <v>37</v>
      </c>
      <c r="E1266" t="s">
        <v>38</v>
      </c>
      <c r="F1266" t="str">
        <f>"0001367"</f>
        <v>0001367</v>
      </c>
      <c r="G1266">
        <v>1</v>
      </c>
      <c r="H1266" t="str">
        <f>"00000000"</f>
        <v>00000000</v>
      </c>
      <c r="I1266" t="s">
        <v>39</v>
      </c>
      <c r="J1266"/>
      <c r="K1266">
        <v>330.51</v>
      </c>
      <c r="L1266">
        <v>0.0</v>
      </c>
      <c r="M1266"/>
      <c r="N1266"/>
      <c r="O1266">
        <v>59.49</v>
      </c>
      <c r="P1266">
        <v>0.0</v>
      </c>
      <c r="Q1266">
        <v>390.0</v>
      </c>
      <c r="R1266"/>
      <c r="S1266"/>
      <c r="T1266"/>
      <c r="U1266"/>
      <c r="V1266"/>
      <c r="W1266">
        <v>18</v>
      </c>
    </row>
    <row r="1267" spans="1:23">
      <c r="A1267"/>
      <c r="B1267" t="s">
        <v>94</v>
      </c>
      <c r="C1267" t="s">
        <v>94</v>
      </c>
      <c r="D1267" t="s">
        <v>37</v>
      </c>
      <c r="E1267" t="s">
        <v>38</v>
      </c>
      <c r="F1267" t="str">
        <f>"0001368"</f>
        <v>0001368</v>
      </c>
      <c r="G1267">
        <v>1</v>
      </c>
      <c r="H1267" t="str">
        <f>"00000000"</f>
        <v>00000000</v>
      </c>
      <c r="I1267" t="s">
        <v>39</v>
      </c>
      <c r="J1267"/>
      <c r="K1267">
        <v>372.88</v>
      </c>
      <c r="L1267">
        <v>0.0</v>
      </c>
      <c r="M1267"/>
      <c r="N1267"/>
      <c r="O1267">
        <v>67.12</v>
      </c>
      <c r="P1267">
        <v>0.0</v>
      </c>
      <c r="Q1267">
        <v>440.0</v>
      </c>
      <c r="R1267"/>
      <c r="S1267"/>
      <c r="T1267"/>
      <c r="U1267"/>
      <c r="V1267"/>
      <c r="W1267">
        <v>18</v>
      </c>
    </row>
    <row r="1268" spans="1:23">
      <c r="A1268"/>
      <c r="B1268" t="s">
        <v>94</v>
      </c>
      <c r="C1268" t="s">
        <v>94</v>
      </c>
      <c r="D1268" t="s">
        <v>37</v>
      </c>
      <c r="E1268" t="s">
        <v>38</v>
      </c>
      <c r="F1268" t="str">
        <f>"0001369"</f>
        <v>0001369</v>
      </c>
      <c r="G1268">
        <v>1</v>
      </c>
      <c r="H1268" t="str">
        <f>"00000000"</f>
        <v>00000000</v>
      </c>
      <c r="I1268" t="s">
        <v>39</v>
      </c>
      <c r="J1268"/>
      <c r="K1268">
        <v>343.22</v>
      </c>
      <c r="L1268">
        <v>0.0</v>
      </c>
      <c r="M1268"/>
      <c r="N1268"/>
      <c r="O1268">
        <v>61.78</v>
      </c>
      <c r="P1268">
        <v>0.0</v>
      </c>
      <c r="Q1268">
        <v>405.0</v>
      </c>
      <c r="R1268"/>
      <c r="S1268"/>
      <c r="T1268"/>
      <c r="U1268"/>
      <c r="V1268"/>
      <c r="W1268">
        <v>18</v>
      </c>
    </row>
    <row r="1269" spans="1:23">
      <c r="A1269"/>
      <c r="B1269" t="s">
        <v>94</v>
      </c>
      <c r="C1269" t="s">
        <v>94</v>
      </c>
      <c r="D1269" t="s">
        <v>37</v>
      </c>
      <c r="E1269" t="s">
        <v>38</v>
      </c>
      <c r="F1269" t="str">
        <f>"0001370"</f>
        <v>0001370</v>
      </c>
      <c r="G1269">
        <v>1</v>
      </c>
      <c r="H1269" t="str">
        <f>"00000000"</f>
        <v>00000000</v>
      </c>
      <c r="I1269" t="s">
        <v>39</v>
      </c>
      <c r="J1269"/>
      <c r="K1269">
        <v>317.8</v>
      </c>
      <c r="L1269">
        <v>0.0</v>
      </c>
      <c r="M1269"/>
      <c r="N1269"/>
      <c r="O1269">
        <v>57.2</v>
      </c>
      <c r="P1269">
        <v>0.0</v>
      </c>
      <c r="Q1269">
        <v>375.0</v>
      </c>
      <c r="R1269"/>
      <c r="S1269"/>
      <c r="T1269"/>
      <c r="U1269"/>
      <c r="V1269"/>
      <c r="W1269">
        <v>18</v>
      </c>
    </row>
    <row r="1270" spans="1:23">
      <c r="A1270"/>
      <c r="B1270" t="s">
        <v>94</v>
      </c>
      <c r="C1270" t="s">
        <v>94</v>
      </c>
      <c r="D1270" t="s">
        <v>37</v>
      </c>
      <c r="E1270" t="s">
        <v>38</v>
      </c>
      <c r="F1270" t="str">
        <f>"0001371"</f>
        <v>0001371</v>
      </c>
      <c r="G1270">
        <v>1</v>
      </c>
      <c r="H1270" t="str">
        <f>"00000000"</f>
        <v>00000000</v>
      </c>
      <c r="I1270" t="s">
        <v>39</v>
      </c>
      <c r="J1270"/>
      <c r="K1270">
        <v>372.88</v>
      </c>
      <c r="L1270">
        <v>0.0</v>
      </c>
      <c r="M1270"/>
      <c r="N1270"/>
      <c r="O1270">
        <v>67.12</v>
      </c>
      <c r="P1270">
        <v>0.0</v>
      </c>
      <c r="Q1270">
        <v>440.0</v>
      </c>
      <c r="R1270"/>
      <c r="S1270"/>
      <c r="T1270"/>
      <c r="U1270"/>
      <c r="V1270"/>
      <c r="W1270">
        <v>18</v>
      </c>
    </row>
    <row r="1271" spans="1:23">
      <c r="A1271"/>
      <c r="B1271" t="s">
        <v>94</v>
      </c>
      <c r="C1271" t="s">
        <v>94</v>
      </c>
      <c r="D1271" t="s">
        <v>37</v>
      </c>
      <c r="E1271" t="s">
        <v>38</v>
      </c>
      <c r="F1271" t="str">
        <f>"0001372"</f>
        <v>0001372</v>
      </c>
      <c r="G1271">
        <v>1</v>
      </c>
      <c r="H1271" t="str">
        <f>"00000000"</f>
        <v>00000000</v>
      </c>
      <c r="I1271" t="s">
        <v>39</v>
      </c>
      <c r="J1271"/>
      <c r="K1271">
        <v>372.88</v>
      </c>
      <c r="L1271">
        <v>0.0</v>
      </c>
      <c r="M1271"/>
      <c r="N1271"/>
      <c r="O1271">
        <v>67.12</v>
      </c>
      <c r="P1271">
        <v>0.0</v>
      </c>
      <c r="Q1271">
        <v>440.0</v>
      </c>
      <c r="R1271"/>
      <c r="S1271"/>
      <c r="T1271"/>
      <c r="U1271"/>
      <c r="V1271"/>
      <c r="W1271">
        <v>18</v>
      </c>
    </row>
    <row r="1272" spans="1:23">
      <c r="A1272"/>
      <c r="B1272" t="s">
        <v>94</v>
      </c>
      <c r="C1272" t="s">
        <v>94</v>
      </c>
      <c r="D1272" t="s">
        <v>37</v>
      </c>
      <c r="E1272" t="s">
        <v>38</v>
      </c>
      <c r="F1272" t="str">
        <f>"0001373"</f>
        <v>0001373</v>
      </c>
      <c r="G1272">
        <v>1</v>
      </c>
      <c r="H1272" t="str">
        <f>"00000000"</f>
        <v>00000000</v>
      </c>
      <c r="I1272" t="s">
        <v>39</v>
      </c>
      <c r="J1272"/>
      <c r="K1272">
        <v>389.83</v>
      </c>
      <c r="L1272">
        <v>0.0</v>
      </c>
      <c r="M1272"/>
      <c r="N1272"/>
      <c r="O1272">
        <v>70.17</v>
      </c>
      <c r="P1272">
        <v>0.0</v>
      </c>
      <c r="Q1272">
        <v>460.0</v>
      </c>
      <c r="R1272"/>
      <c r="S1272"/>
      <c r="T1272"/>
      <c r="U1272"/>
      <c r="V1272"/>
      <c r="W1272">
        <v>18</v>
      </c>
    </row>
    <row r="1273" spans="1:23">
      <c r="A1273"/>
      <c r="B1273" t="s">
        <v>94</v>
      </c>
      <c r="C1273" t="s">
        <v>94</v>
      </c>
      <c r="D1273" t="s">
        <v>37</v>
      </c>
      <c r="E1273" t="s">
        <v>38</v>
      </c>
      <c r="F1273" t="str">
        <f>"0001374"</f>
        <v>0001374</v>
      </c>
      <c r="G1273">
        <v>1</v>
      </c>
      <c r="H1273" t="str">
        <f>"00000000"</f>
        <v>00000000</v>
      </c>
      <c r="I1273" t="s">
        <v>39</v>
      </c>
      <c r="J1273"/>
      <c r="K1273">
        <v>381.36</v>
      </c>
      <c r="L1273">
        <v>0.0</v>
      </c>
      <c r="M1273"/>
      <c r="N1273"/>
      <c r="O1273">
        <v>68.64</v>
      </c>
      <c r="P1273">
        <v>0.0</v>
      </c>
      <c r="Q1273">
        <v>450.0</v>
      </c>
      <c r="R1273"/>
      <c r="S1273"/>
      <c r="T1273"/>
      <c r="U1273"/>
      <c r="V1273"/>
      <c r="W1273">
        <v>18</v>
      </c>
    </row>
    <row r="1274" spans="1:23">
      <c r="A1274"/>
      <c r="B1274" t="s">
        <v>94</v>
      </c>
      <c r="C1274" t="s">
        <v>94</v>
      </c>
      <c r="D1274" t="s">
        <v>37</v>
      </c>
      <c r="E1274" t="s">
        <v>38</v>
      </c>
      <c r="F1274" t="str">
        <f>"0001375"</f>
        <v>0001375</v>
      </c>
      <c r="G1274">
        <v>1</v>
      </c>
      <c r="H1274" t="str">
        <f>"00000000"</f>
        <v>00000000</v>
      </c>
      <c r="I1274" t="s">
        <v>39</v>
      </c>
      <c r="J1274"/>
      <c r="K1274">
        <v>584.75</v>
      </c>
      <c r="L1274">
        <v>0.0</v>
      </c>
      <c r="M1274"/>
      <c r="N1274"/>
      <c r="O1274">
        <v>105.25</v>
      </c>
      <c r="P1274">
        <v>0.0</v>
      </c>
      <c r="Q1274">
        <v>690.0</v>
      </c>
      <c r="R1274"/>
      <c r="S1274"/>
      <c r="T1274"/>
      <c r="U1274"/>
      <c r="V1274"/>
      <c r="W1274">
        <v>18</v>
      </c>
    </row>
    <row r="1275" spans="1:23">
      <c r="A1275"/>
      <c r="B1275" t="s">
        <v>94</v>
      </c>
      <c r="C1275" t="s">
        <v>94</v>
      </c>
      <c r="D1275" t="s">
        <v>37</v>
      </c>
      <c r="E1275" t="s">
        <v>38</v>
      </c>
      <c r="F1275" t="str">
        <f>"0001376"</f>
        <v>0001376</v>
      </c>
      <c r="G1275">
        <v>1</v>
      </c>
      <c r="H1275" t="str">
        <f>"00000000"</f>
        <v>00000000</v>
      </c>
      <c r="I1275" t="s">
        <v>39</v>
      </c>
      <c r="J1275"/>
      <c r="K1275">
        <v>372.88</v>
      </c>
      <c r="L1275">
        <v>0.0</v>
      </c>
      <c r="M1275"/>
      <c r="N1275"/>
      <c r="O1275">
        <v>67.12</v>
      </c>
      <c r="P1275">
        <v>0.0</v>
      </c>
      <c r="Q1275">
        <v>440.0</v>
      </c>
      <c r="R1275"/>
      <c r="S1275"/>
      <c r="T1275"/>
      <c r="U1275"/>
      <c r="V1275"/>
      <c r="W1275">
        <v>18</v>
      </c>
    </row>
    <row r="1276" spans="1:23">
      <c r="A1276"/>
      <c r="B1276" t="s">
        <v>94</v>
      </c>
      <c r="C1276" t="s">
        <v>94</v>
      </c>
      <c r="D1276" t="s">
        <v>37</v>
      </c>
      <c r="E1276" t="s">
        <v>38</v>
      </c>
      <c r="F1276" t="str">
        <f>"0001377"</f>
        <v>0001377</v>
      </c>
      <c r="G1276">
        <v>1</v>
      </c>
      <c r="H1276" t="str">
        <f>"00000000"</f>
        <v>00000000</v>
      </c>
      <c r="I1276" t="s">
        <v>39</v>
      </c>
      <c r="J1276"/>
      <c r="K1276">
        <v>338.98</v>
      </c>
      <c r="L1276">
        <v>0.0</v>
      </c>
      <c r="M1276"/>
      <c r="N1276"/>
      <c r="O1276">
        <v>61.02</v>
      </c>
      <c r="P1276">
        <v>0.0</v>
      </c>
      <c r="Q1276">
        <v>400.0</v>
      </c>
      <c r="R1276"/>
      <c r="S1276"/>
      <c r="T1276"/>
      <c r="U1276"/>
      <c r="V1276"/>
      <c r="W1276">
        <v>18</v>
      </c>
    </row>
    <row r="1277" spans="1:23">
      <c r="A1277"/>
      <c r="B1277" t="s">
        <v>94</v>
      </c>
      <c r="C1277" t="s">
        <v>94</v>
      </c>
      <c r="D1277" t="s">
        <v>37</v>
      </c>
      <c r="E1277" t="s">
        <v>38</v>
      </c>
      <c r="F1277" t="str">
        <f>"0001378"</f>
        <v>0001378</v>
      </c>
      <c r="G1277">
        <v>1</v>
      </c>
      <c r="H1277" t="str">
        <f>"00000000"</f>
        <v>00000000</v>
      </c>
      <c r="I1277" t="s">
        <v>39</v>
      </c>
      <c r="J1277"/>
      <c r="K1277">
        <v>406.78</v>
      </c>
      <c r="L1277">
        <v>0.0</v>
      </c>
      <c r="M1277"/>
      <c r="N1277"/>
      <c r="O1277">
        <v>73.22</v>
      </c>
      <c r="P1277">
        <v>0.0</v>
      </c>
      <c r="Q1277">
        <v>480.0</v>
      </c>
      <c r="R1277"/>
      <c r="S1277"/>
      <c r="T1277"/>
      <c r="U1277"/>
      <c r="V1277"/>
      <c r="W1277">
        <v>18</v>
      </c>
    </row>
    <row r="1278" spans="1:23">
      <c r="A1278"/>
      <c r="B1278" t="s">
        <v>94</v>
      </c>
      <c r="C1278" t="s">
        <v>94</v>
      </c>
      <c r="D1278" t="s">
        <v>37</v>
      </c>
      <c r="E1278" t="s">
        <v>38</v>
      </c>
      <c r="F1278" t="str">
        <f>"0001379"</f>
        <v>0001379</v>
      </c>
      <c r="G1278">
        <v>1</v>
      </c>
      <c r="H1278" t="str">
        <f>"00000000"</f>
        <v>00000000</v>
      </c>
      <c r="I1278" t="s">
        <v>39</v>
      </c>
      <c r="J1278"/>
      <c r="K1278">
        <v>381.36</v>
      </c>
      <c r="L1278">
        <v>0.0</v>
      </c>
      <c r="M1278"/>
      <c r="N1278"/>
      <c r="O1278">
        <v>68.64</v>
      </c>
      <c r="P1278">
        <v>0.0</v>
      </c>
      <c r="Q1278">
        <v>450.0</v>
      </c>
      <c r="R1278"/>
      <c r="S1278"/>
      <c r="T1278"/>
      <c r="U1278"/>
      <c r="V1278"/>
      <c r="W1278">
        <v>18</v>
      </c>
    </row>
    <row r="1279" spans="1:23">
      <c r="A1279"/>
      <c r="B1279" t="s">
        <v>94</v>
      </c>
      <c r="C1279" t="s">
        <v>94</v>
      </c>
      <c r="D1279" t="s">
        <v>37</v>
      </c>
      <c r="E1279" t="s">
        <v>38</v>
      </c>
      <c r="F1279" t="str">
        <f>"0001380"</f>
        <v>0001380</v>
      </c>
      <c r="G1279">
        <v>1</v>
      </c>
      <c r="H1279" t="str">
        <f>"00000000"</f>
        <v>00000000</v>
      </c>
      <c r="I1279" t="s">
        <v>39</v>
      </c>
      <c r="J1279"/>
      <c r="K1279">
        <v>194.92</v>
      </c>
      <c r="L1279">
        <v>0.0</v>
      </c>
      <c r="M1279"/>
      <c r="N1279"/>
      <c r="O1279">
        <v>35.08</v>
      </c>
      <c r="P1279">
        <v>0.0</v>
      </c>
      <c r="Q1279">
        <v>230.0</v>
      </c>
      <c r="R1279"/>
      <c r="S1279"/>
      <c r="T1279"/>
      <c r="U1279"/>
      <c r="V1279"/>
      <c r="W1279">
        <v>18</v>
      </c>
    </row>
    <row r="1280" spans="1:23">
      <c r="A1280"/>
      <c r="B1280" t="s">
        <v>94</v>
      </c>
      <c r="C1280" t="s">
        <v>94</v>
      </c>
      <c r="D1280" t="s">
        <v>37</v>
      </c>
      <c r="E1280" t="s">
        <v>38</v>
      </c>
      <c r="F1280" t="str">
        <f>"0001381"</f>
        <v>0001381</v>
      </c>
      <c r="G1280">
        <v>1</v>
      </c>
      <c r="H1280" t="str">
        <f>"00000000"</f>
        <v>00000000</v>
      </c>
      <c r="I1280" t="s">
        <v>39</v>
      </c>
      <c r="J1280"/>
      <c r="K1280">
        <v>338.98</v>
      </c>
      <c r="L1280">
        <v>0.0</v>
      </c>
      <c r="M1280"/>
      <c r="N1280"/>
      <c r="O1280">
        <v>61.02</v>
      </c>
      <c r="P1280">
        <v>0.0</v>
      </c>
      <c r="Q1280">
        <v>400.0</v>
      </c>
      <c r="R1280"/>
      <c r="S1280"/>
      <c r="T1280"/>
      <c r="U1280"/>
      <c r="V1280"/>
      <c r="W1280">
        <v>18</v>
      </c>
    </row>
    <row r="1281" spans="1:23">
      <c r="A1281"/>
      <c r="B1281" t="s">
        <v>94</v>
      </c>
      <c r="C1281" t="s">
        <v>94</v>
      </c>
      <c r="D1281" t="s">
        <v>37</v>
      </c>
      <c r="E1281" t="s">
        <v>38</v>
      </c>
      <c r="F1281" t="str">
        <f>"0001382"</f>
        <v>0001382</v>
      </c>
      <c r="G1281">
        <v>1</v>
      </c>
      <c r="H1281" t="str">
        <f>"00000000"</f>
        <v>00000000</v>
      </c>
      <c r="I1281" t="s">
        <v>39</v>
      </c>
      <c r="J1281"/>
      <c r="K1281">
        <v>296.61</v>
      </c>
      <c r="L1281">
        <v>0.0</v>
      </c>
      <c r="M1281"/>
      <c r="N1281"/>
      <c r="O1281">
        <v>53.39</v>
      </c>
      <c r="P1281">
        <v>0.0</v>
      </c>
      <c r="Q1281">
        <v>350.0</v>
      </c>
      <c r="R1281"/>
      <c r="S1281"/>
      <c r="T1281"/>
      <c r="U1281"/>
      <c r="V1281"/>
      <c r="W1281">
        <v>18</v>
      </c>
    </row>
    <row r="1282" spans="1:23">
      <c r="A1282"/>
      <c r="B1282" t="s">
        <v>94</v>
      </c>
      <c r="C1282" t="s">
        <v>94</v>
      </c>
      <c r="D1282" t="s">
        <v>37</v>
      </c>
      <c r="E1282" t="s">
        <v>38</v>
      </c>
      <c r="F1282" t="str">
        <f>"0001383"</f>
        <v>0001383</v>
      </c>
      <c r="G1282">
        <v>1</v>
      </c>
      <c r="H1282" t="str">
        <f>"00000000"</f>
        <v>00000000</v>
      </c>
      <c r="I1282" t="s">
        <v>39</v>
      </c>
      <c r="J1282"/>
      <c r="K1282">
        <v>279.66</v>
      </c>
      <c r="L1282">
        <v>0.0</v>
      </c>
      <c r="M1282"/>
      <c r="N1282"/>
      <c r="O1282">
        <v>50.34</v>
      </c>
      <c r="P1282">
        <v>0.0</v>
      </c>
      <c r="Q1282">
        <v>330.0</v>
      </c>
      <c r="R1282"/>
      <c r="S1282"/>
      <c r="T1282"/>
      <c r="U1282"/>
      <c r="V1282"/>
      <c r="W1282">
        <v>18</v>
      </c>
    </row>
    <row r="1283" spans="1:23">
      <c r="A1283"/>
      <c r="B1283" t="s">
        <v>94</v>
      </c>
      <c r="C1283" t="s">
        <v>94</v>
      </c>
      <c r="D1283" t="s">
        <v>37</v>
      </c>
      <c r="E1283" t="s">
        <v>38</v>
      </c>
      <c r="F1283" t="str">
        <f>"0001384"</f>
        <v>0001384</v>
      </c>
      <c r="G1283">
        <v>1</v>
      </c>
      <c r="H1283" t="str">
        <f>"00000000"</f>
        <v>00000000</v>
      </c>
      <c r="I1283" t="s">
        <v>39</v>
      </c>
      <c r="J1283"/>
      <c r="K1283">
        <v>254.24</v>
      </c>
      <c r="L1283">
        <v>0.0</v>
      </c>
      <c r="M1283"/>
      <c r="N1283"/>
      <c r="O1283">
        <v>45.76</v>
      </c>
      <c r="P1283">
        <v>0.0</v>
      </c>
      <c r="Q1283">
        <v>300.0</v>
      </c>
      <c r="R1283"/>
      <c r="S1283"/>
      <c r="T1283"/>
      <c r="U1283"/>
      <c r="V1283"/>
      <c r="W1283">
        <v>18</v>
      </c>
    </row>
    <row r="1284" spans="1:23">
      <c r="A1284"/>
      <c r="B1284" t="s">
        <v>94</v>
      </c>
      <c r="C1284" t="s">
        <v>94</v>
      </c>
      <c r="D1284" t="s">
        <v>37</v>
      </c>
      <c r="E1284" t="s">
        <v>38</v>
      </c>
      <c r="F1284" t="str">
        <f>"0001385"</f>
        <v>0001385</v>
      </c>
      <c r="G1284">
        <v>1</v>
      </c>
      <c r="H1284" t="str">
        <f>"00000000"</f>
        <v>00000000</v>
      </c>
      <c r="I1284" t="s">
        <v>39</v>
      </c>
      <c r="J1284"/>
      <c r="K1284">
        <v>254.24</v>
      </c>
      <c r="L1284">
        <v>0.0</v>
      </c>
      <c r="M1284"/>
      <c r="N1284"/>
      <c r="O1284">
        <v>45.76</v>
      </c>
      <c r="P1284">
        <v>0.0</v>
      </c>
      <c r="Q1284">
        <v>300.0</v>
      </c>
      <c r="R1284"/>
      <c r="S1284"/>
      <c r="T1284"/>
      <c r="U1284"/>
      <c r="V1284"/>
      <c r="W1284">
        <v>18</v>
      </c>
    </row>
    <row r="1285" spans="1:23">
      <c r="A1285"/>
      <c r="B1285" t="s">
        <v>94</v>
      </c>
      <c r="C1285" t="s">
        <v>94</v>
      </c>
      <c r="D1285" t="s">
        <v>37</v>
      </c>
      <c r="E1285" t="s">
        <v>38</v>
      </c>
      <c r="F1285" t="str">
        <f>"0001386"</f>
        <v>0001386</v>
      </c>
      <c r="G1285">
        <v>1</v>
      </c>
      <c r="H1285" t="str">
        <f>"00000000"</f>
        <v>00000000</v>
      </c>
      <c r="I1285" t="s">
        <v>39</v>
      </c>
      <c r="J1285"/>
      <c r="K1285">
        <v>398.31</v>
      </c>
      <c r="L1285">
        <v>0.0</v>
      </c>
      <c r="M1285"/>
      <c r="N1285"/>
      <c r="O1285">
        <v>71.69</v>
      </c>
      <c r="P1285">
        <v>0.0</v>
      </c>
      <c r="Q1285">
        <v>470.0</v>
      </c>
      <c r="R1285"/>
      <c r="S1285"/>
      <c r="T1285"/>
      <c r="U1285"/>
      <c r="V1285"/>
      <c r="W1285">
        <v>18</v>
      </c>
    </row>
    <row r="1286" spans="1:23">
      <c r="A1286"/>
      <c r="B1286" t="s">
        <v>94</v>
      </c>
      <c r="C1286" t="s">
        <v>94</v>
      </c>
      <c r="D1286" t="s">
        <v>37</v>
      </c>
      <c r="E1286" t="s">
        <v>38</v>
      </c>
      <c r="F1286" t="str">
        <f>"0001387"</f>
        <v>0001387</v>
      </c>
      <c r="G1286">
        <v>1</v>
      </c>
      <c r="H1286" t="str">
        <f>"00000000"</f>
        <v>00000000</v>
      </c>
      <c r="I1286" t="s">
        <v>39</v>
      </c>
      <c r="J1286"/>
      <c r="K1286">
        <v>381.36</v>
      </c>
      <c r="L1286">
        <v>0.0</v>
      </c>
      <c r="M1286"/>
      <c r="N1286"/>
      <c r="O1286">
        <v>68.64</v>
      </c>
      <c r="P1286">
        <v>0.0</v>
      </c>
      <c r="Q1286">
        <v>450.0</v>
      </c>
      <c r="R1286"/>
      <c r="S1286"/>
      <c r="T1286"/>
      <c r="U1286"/>
      <c r="V1286"/>
      <c r="W1286">
        <v>18</v>
      </c>
    </row>
    <row r="1287" spans="1:23">
      <c r="A1287"/>
      <c r="B1287" t="s">
        <v>94</v>
      </c>
      <c r="C1287" t="s">
        <v>94</v>
      </c>
      <c r="D1287" t="s">
        <v>37</v>
      </c>
      <c r="E1287" t="s">
        <v>38</v>
      </c>
      <c r="F1287" t="str">
        <f>"0001388"</f>
        <v>0001388</v>
      </c>
      <c r="G1287">
        <v>1</v>
      </c>
      <c r="H1287" t="str">
        <f>"00000000"</f>
        <v>00000000</v>
      </c>
      <c r="I1287" t="s">
        <v>39</v>
      </c>
      <c r="J1287"/>
      <c r="K1287">
        <v>296.61</v>
      </c>
      <c r="L1287">
        <v>0.0</v>
      </c>
      <c r="M1287"/>
      <c r="N1287"/>
      <c r="O1287">
        <v>53.39</v>
      </c>
      <c r="P1287">
        <v>0.0</v>
      </c>
      <c r="Q1287">
        <v>350.0</v>
      </c>
      <c r="R1287"/>
      <c r="S1287"/>
      <c r="T1287"/>
      <c r="U1287"/>
      <c r="V1287"/>
      <c r="W1287">
        <v>18</v>
      </c>
    </row>
    <row r="1288" spans="1:23">
      <c r="A1288"/>
      <c r="B1288" t="s">
        <v>94</v>
      </c>
      <c r="C1288" t="s">
        <v>94</v>
      </c>
      <c r="D1288" t="s">
        <v>37</v>
      </c>
      <c r="E1288" t="s">
        <v>38</v>
      </c>
      <c r="F1288" t="str">
        <f>"0001389"</f>
        <v>0001389</v>
      </c>
      <c r="G1288">
        <v>1</v>
      </c>
      <c r="H1288" t="str">
        <f>"00000000"</f>
        <v>00000000</v>
      </c>
      <c r="I1288" t="s">
        <v>39</v>
      </c>
      <c r="J1288"/>
      <c r="K1288">
        <v>389.83</v>
      </c>
      <c r="L1288">
        <v>0.0</v>
      </c>
      <c r="M1288"/>
      <c r="N1288"/>
      <c r="O1288">
        <v>70.17</v>
      </c>
      <c r="P1288">
        <v>0.0</v>
      </c>
      <c r="Q1288">
        <v>460.0</v>
      </c>
      <c r="R1288"/>
      <c r="S1288"/>
      <c r="T1288"/>
      <c r="U1288"/>
      <c r="V1288"/>
      <c r="W1288">
        <v>18</v>
      </c>
    </row>
    <row r="1289" spans="1:23">
      <c r="A1289"/>
      <c r="B1289" t="s">
        <v>94</v>
      </c>
      <c r="C1289" t="s">
        <v>94</v>
      </c>
      <c r="D1289" t="s">
        <v>37</v>
      </c>
      <c r="E1289" t="s">
        <v>38</v>
      </c>
      <c r="F1289" t="str">
        <f>"0001390"</f>
        <v>0001390</v>
      </c>
      <c r="G1289">
        <v>1</v>
      </c>
      <c r="H1289" t="str">
        <f>"00000000"</f>
        <v>00000000</v>
      </c>
      <c r="I1289" t="s">
        <v>39</v>
      </c>
      <c r="J1289"/>
      <c r="K1289">
        <v>326.27</v>
      </c>
      <c r="L1289">
        <v>0.0</v>
      </c>
      <c r="M1289"/>
      <c r="N1289"/>
      <c r="O1289">
        <v>58.73</v>
      </c>
      <c r="P1289">
        <v>0.0</v>
      </c>
      <c r="Q1289">
        <v>385.0</v>
      </c>
      <c r="R1289"/>
      <c r="S1289"/>
      <c r="T1289"/>
      <c r="U1289"/>
      <c r="V1289"/>
      <c r="W1289">
        <v>18</v>
      </c>
    </row>
    <row r="1290" spans="1:23">
      <c r="A1290"/>
      <c r="B1290" t="s">
        <v>94</v>
      </c>
      <c r="C1290" t="s">
        <v>94</v>
      </c>
      <c r="D1290" t="s">
        <v>37</v>
      </c>
      <c r="E1290" t="s">
        <v>38</v>
      </c>
      <c r="F1290" t="str">
        <f>"0001391"</f>
        <v>0001391</v>
      </c>
      <c r="G1290">
        <v>1</v>
      </c>
      <c r="H1290" t="str">
        <f>"00000000"</f>
        <v>00000000</v>
      </c>
      <c r="I1290" t="s">
        <v>39</v>
      </c>
      <c r="J1290"/>
      <c r="K1290">
        <v>317.8</v>
      </c>
      <c r="L1290">
        <v>0.0</v>
      </c>
      <c r="M1290"/>
      <c r="N1290"/>
      <c r="O1290">
        <v>57.2</v>
      </c>
      <c r="P1290">
        <v>0.0</v>
      </c>
      <c r="Q1290">
        <v>375.0</v>
      </c>
      <c r="R1290"/>
      <c r="S1290"/>
      <c r="T1290"/>
      <c r="U1290"/>
      <c r="V1290"/>
      <c r="W1290">
        <v>18</v>
      </c>
    </row>
    <row r="1291" spans="1:23">
      <c r="A1291"/>
      <c r="B1291" t="s">
        <v>94</v>
      </c>
      <c r="C1291" t="s">
        <v>94</v>
      </c>
      <c r="D1291" t="s">
        <v>37</v>
      </c>
      <c r="E1291" t="s">
        <v>38</v>
      </c>
      <c r="F1291" t="str">
        <f>"0001392"</f>
        <v>0001392</v>
      </c>
      <c r="G1291">
        <v>1</v>
      </c>
      <c r="H1291" t="str">
        <f>"00000000"</f>
        <v>00000000</v>
      </c>
      <c r="I1291" t="s">
        <v>39</v>
      </c>
      <c r="J1291"/>
      <c r="K1291">
        <v>317.8</v>
      </c>
      <c r="L1291">
        <v>0.0</v>
      </c>
      <c r="M1291"/>
      <c r="N1291"/>
      <c r="O1291">
        <v>57.2</v>
      </c>
      <c r="P1291">
        <v>0.0</v>
      </c>
      <c r="Q1291">
        <v>375.0</v>
      </c>
      <c r="R1291"/>
      <c r="S1291"/>
      <c r="T1291"/>
      <c r="U1291"/>
      <c r="V1291"/>
      <c r="W1291">
        <v>18</v>
      </c>
    </row>
    <row r="1292" spans="1:23">
      <c r="A1292"/>
      <c r="B1292" t="s">
        <v>94</v>
      </c>
      <c r="C1292" t="s">
        <v>94</v>
      </c>
      <c r="D1292" t="s">
        <v>37</v>
      </c>
      <c r="E1292" t="s">
        <v>38</v>
      </c>
      <c r="F1292" t="str">
        <f>"0001393"</f>
        <v>0001393</v>
      </c>
      <c r="G1292">
        <v>1</v>
      </c>
      <c r="H1292" t="str">
        <f>"00000000"</f>
        <v>00000000</v>
      </c>
      <c r="I1292" t="s">
        <v>39</v>
      </c>
      <c r="J1292"/>
      <c r="K1292">
        <v>406.78</v>
      </c>
      <c r="L1292">
        <v>0.0</v>
      </c>
      <c r="M1292"/>
      <c r="N1292"/>
      <c r="O1292">
        <v>73.22</v>
      </c>
      <c r="P1292">
        <v>0.0</v>
      </c>
      <c r="Q1292">
        <v>480.0</v>
      </c>
      <c r="R1292"/>
      <c r="S1292"/>
      <c r="T1292"/>
      <c r="U1292"/>
      <c r="V1292"/>
      <c r="W1292">
        <v>18</v>
      </c>
    </row>
    <row r="1293" spans="1:23">
      <c r="A1293"/>
      <c r="B1293" t="s">
        <v>94</v>
      </c>
      <c r="C1293" t="s">
        <v>94</v>
      </c>
      <c r="D1293" t="s">
        <v>37</v>
      </c>
      <c r="E1293" t="s">
        <v>38</v>
      </c>
      <c r="F1293" t="str">
        <f>"0001394"</f>
        <v>0001394</v>
      </c>
      <c r="G1293">
        <v>1</v>
      </c>
      <c r="H1293" t="str">
        <f>"00000000"</f>
        <v>00000000</v>
      </c>
      <c r="I1293" t="s">
        <v>39</v>
      </c>
      <c r="J1293"/>
      <c r="K1293">
        <v>389.83</v>
      </c>
      <c r="L1293">
        <v>0.0</v>
      </c>
      <c r="M1293"/>
      <c r="N1293"/>
      <c r="O1293">
        <v>70.17</v>
      </c>
      <c r="P1293">
        <v>0.0</v>
      </c>
      <c r="Q1293">
        <v>460.0</v>
      </c>
      <c r="R1293"/>
      <c r="S1293"/>
      <c r="T1293"/>
      <c r="U1293"/>
      <c r="V1293"/>
      <c r="W1293">
        <v>18</v>
      </c>
    </row>
    <row r="1294" spans="1:23">
      <c r="A1294"/>
      <c r="B1294" t="s">
        <v>94</v>
      </c>
      <c r="C1294" t="s">
        <v>94</v>
      </c>
      <c r="D1294" t="s">
        <v>37</v>
      </c>
      <c r="E1294" t="s">
        <v>38</v>
      </c>
      <c r="F1294" t="str">
        <f>"0001395"</f>
        <v>0001395</v>
      </c>
      <c r="G1294">
        <v>1</v>
      </c>
      <c r="H1294" t="str">
        <f>"00000000"</f>
        <v>00000000</v>
      </c>
      <c r="I1294" t="s">
        <v>39</v>
      </c>
      <c r="J1294"/>
      <c r="K1294">
        <v>190.68</v>
      </c>
      <c r="L1294">
        <v>0.0</v>
      </c>
      <c r="M1294"/>
      <c r="N1294"/>
      <c r="O1294">
        <v>34.32</v>
      </c>
      <c r="P1294">
        <v>0.0</v>
      </c>
      <c r="Q1294">
        <v>225.0</v>
      </c>
      <c r="R1294"/>
      <c r="S1294"/>
      <c r="T1294"/>
      <c r="U1294"/>
      <c r="V1294"/>
      <c r="W1294">
        <v>18</v>
      </c>
    </row>
    <row r="1295" spans="1:23">
      <c r="A1295"/>
      <c r="B1295" t="s">
        <v>94</v>
      </c>
      <c r="C1295" t="s">
        <v>94</v>
      </c>
      <c r="D1295" t="s">
        <v>37</v>
      </c>
      <c r="E1295" t="s">
        <v>38</v>
      </c>
      <c r="F1295" t="str">
        <f>"0001396"</f>
        <v>0001396</v>
      </c>
      <c r="G1295">
        <v>1</v>
      </c>
      <c r="H1295" t="str">
        <f>"00000000"</f>
        <v>00000000</v>
      </c>
      <c r="I1295" t="s">
        <v>39</v>
      </c>
      <c r="J1295"/>
      <c r="K1295">
        <v>355.93</v>
      </c>
      <c r="L1295">
        <v>0.0</v>
      </c>
      <c r="M1295"/>
      <c r="N1295"/>
      <c r="O1295">
        <v>64.07</v>
      </c>
      <c r="P1295">
        <v>0.0</v>
      </c>
      <c r="Q1295">
        <v>420.0</v>
      </c>
      <c r="R1295"/>
      <c r="S1295"/>
      <c r="T1295"/>
      <c r="U1295"/>
      <c r="V1295"/>
      <c r="W1295">
        <v>18</v>
      </c>
    </row>
    <row r="1296" spans="1:23">
      <c r="A1296"/>
      <c r="B1296" t="s">
        <v>94</v>
      </c>
      <c r="C1296" t="s">
        <v>94</v>
      </c>
      <c r="D1296" t="s">
        <v>37</v>
      </c>
      <c r="E1296" t="s">
        <v>38</v>
      </c>
      <c r="F1296" t="str">
        <f>"0001397"</f>
        <v>0001397</v>
      </c>
      <c r="G1296">
        <v>1</v>
      </c>
      <c r="H1296" t="str">
        <f>"00000000"</f>
        <v>00000000</v>
      </c>
      <c r="I1296" t="s">
        <v>39</v>
      </c>
      <c r="J1296"/>
      <c r="K1296">
        <v>355.93</v>
      </c>
      <c r="L1296">
        <v>0.0</v>
      </c>
      <c r="M1296"/>
      <c r="N1296"/>
      <c r="O1296">
        <v>64.07</v>
      </c>
      <c r="P1296">
        <v>0.0</v>
      </c>
      <c r="Q1296">
        <v>420.0</v>
      </c>
      <c r="R1296"/>
      <c r="S1296"/>
      <c r="T1296"/>
      <c r="U1296"/>
      <c r="V1296"/>
      <c r="W1296">
        <v>18</v>
      </c>
    </row>
    <row r="1297" spans="1:23">
      <c r="A1297"/>
      <c r="B1297" t="s">
        <v>94</v>
      </c>
      <c r="C1297" t="s">
        <v>94</v>
      </c>
      <c r="D1297" t="s">
        <v>37</v>
      </c>
      <c r="E1297" t="s">
        <v>38</v>
      </c>
      <c r="F1297" t="str">
        <f>"0001398"</f>
        <v>0001398</v>
      </c>
      <c r="G1297">
        <v>1</v>
      </c>
      <c r="H1297" t="str">
        <f>"00000000"</f>
        <v>00000000</v>
      </c>
      <c r="I1297" t="s">
        <v>39</v>
      </c>
      <c r="J1297"/>
      <c r="K1297">
        <v>228.81</v>
      </c>
      <c r="L1297">
        <v>0.0</v>
      </c>
      <c r="M1297"/>
      <c r="N1297"/>
      <c r="O1297">
        <v>41.19</v>
      </c>
      <c r="P1297">
        <v>0.0</v>
      </c>
      <c r="Q1297">
        <v>270.0</v>
      </c>
      <c r="R1297"/>
      <c r="S1297"/>
      <c r="T1297"/>
      <c r="U1297"/>
      <c r="V1297"/>
      <c r="W1297">
        <v>18</v>
      </c>
    </row>
    <row r="1298" spans="1:23">
      <c r="A1298"/>
      <c r="B1298" t="s">
        <v>94</v>
      </c>
      <c r="C1298" t="s">
        <v>94</v>
      </c>
      <c r="D1298" t="s">
        <v>37</v>
      </c>
      <c r="E1298" t="s">
        <v>38</v>
      </c>
      <c r="F1298" t="str">
        <f>"0001399"</f>
        <v>0001399</v>
      </c>
      <c r="G1298">
        <v>1</v>
      </c>
      <c r="H1298" t="str">
        <f>"00000000"</f>
        <v>00000000</v>
      </c>
      <c r="I1298" t="s">
        <v>39</v>
      </c>
      <c r="J1298"/>
      <c r="K1298">
        <v>381.36</v>
      </c>
      <c r="L1298">
        <v>0.0</v>
      </c>
      <c r="M1298"/>
      <c r="N1298"/>
      <c r="O1298">
        <v>68.64</v>
      </c>
      <c r="P1298">
        <v>0.0</v>
      </c>
      <c r="Q1298">
        <v>450.0</v>
      </c>
      <c r="R1298"/>
      <c r="S1298"/>
      <c r="T1298"/>
      <c r="U1298"/>
      <c r="V1298"/>
      <c r="W1298">
        <v>18</v>
      </c>
    </row>
    <row r="1299" spans="1:23">
      <c r="A1299"/>
      <c r="B1299" t="s">
        <v>94</v>
      </c>
      <c r="C1299" t="s">
        <v>94</v>
      </c>
      <c r="D1299" t="s">
        <v>37</v>
      </c>
      <c r="E1299" t="s">
        <v>38</v>
      </c>
      <c r="F1299" t="str">
        <f>"0001400"</f>
        <v>0001400</v>
      </c>
      <c r="G1299">
        <v>1</v>
      </c>
      <c r="H1299" t="str">
        <f>"00000000"</f>
        <v>00000000</v>
      </c>
      <c r="I1299" t="s">
        <v>39</v>
      </c>
      <c r="J1299"/>
      <c r="K1299">
        <v>406.78</v>
      </c>
      <c r="L1299">
        <v>0.0</v>
      </c>
      <c r="M1299"/>
      <c r="N1299"/>
      <c r="O1299">
        <v>73.22</v>
      </c>
      <c r="P1299">
        <v>0.0</v>
      </c>
      <c r="Q1299">
        <v>480.0</v>
      </c>
      <c r="R1299"/>
      <c r="S1299"/>
      <c r="T1299"/>
      <c r="U1299"/>
      <c r="V1299"/>
      <c r="W1299">
        <v>18</v>
      </c>
    </row>
    <row r="1300" spans="1:23">
      <c r="A1300"/>
      <c r="B1300" t="s">
        <v>94</v>
      </c>
      <c r="C1300" t="s">
        <v>94</v>
      </c>
      <c r="D1300" t="s">
        <v>37</v>
      </c>
      <c r="E1300" t="s">
        <v>38</v>
      </c>
      <c r="F1300" t="str">
        <f>"0001401"</f>
        <v>0001401</v>
      </c>
      <c r="G1300">
        <v>1</v>
      </c>
      <c r="H1300" t="str">
        <f>"00000000"</f>
        <v>00000000</v>
      </c>
      <c r="I1300" t="s">
        <v>39</v>
      </c>
      <c r="J1300"/>
      <c r="K1300">
        <v>389.83</v>
      </c>
      <c r="L1300">
        <v>0.0</v>
      </c>
      <c r="M1300"/>
      <c r="N1300"/>
      <c r="O1300">
        <v>70.17</v>
      </c>
      <c r="P1300">
        <v>0.0</v>
      </c>
      <c r="Q1300">
        <v>460.0</v>
      </c>
      <c r="R1300"/>
      <c r="S1300"/>
      <c r="T1300"/>
      <c r="U1300"/>
      <c r="V1300"/>
      <c r="W1300">
        <v>18</v>
      </c>
    </row>
    <row r="1301" spans="1:23">
      <c r="A1301"/>
      <c r="B1301" t="s">
        <v>94</v>
      </c>
      <c r="C1301" t="s">
        <v>94</v>
      </c>
      <c r="D1301" t="s">
        <v>37</v>
      </c>
      <c r="E1301" t="s">
        <v>38</v>
      </c>
      <c r="F1301" t="str">
        <f>"0001402"</f>
        <v>0001402</v>
      </c>
      <c r="G1301">
        <v>1</v>
      </c>
      <c r="H1301" t="str">
        <f>"00000000"</f>
        <v>00000000</v>
      </c>
      <c r="I1301" t="s">
        <v>39</v>
      </c>
      <c r="J1301"/>
      <c r="K1301">
        <v>305.08</v>
      </c>
      <c r="L1301">
        <v>0.0</v>
      </c>
      <c r="M1301"/>
      <c r="N1301"/>
      <c r="O1301">
        <v>54.92</v>
      </c>
      <c r="P1301">
        <v>0.0</v>
      </c>
      <c r="Q1301">
        <v>360.0</v>
      </c>
      <c r="R1301"/>
      <c r="S1301"/>
      <c r="T1301"/>
      <c r="U1301"/>
      <c r="V1301"/>
      <c r="W1301">
        <v>18</v>
      </c>
    </row>
    <row r="1302" spans="1:23">
      <c r="A1302"/>
      <c r="B1302" t="s">
        <v>94</v>
      </c>
      <c r="C1302" t="s">
        <v>94</v>
      </c>
      <c r="D1302" t="s">
        <v>37</v>
      </c>
      <c r="E1302" t="s">
        <v>38</v>
      </c>
      <c r="F1302" t="str">
        <f>"0001403"</f>
        <v>0001403</v>
      </c>
      <c r="G1302">
        <v>1</v>
      </c>
      <c r="H1302" t="str">
        <f>"00000000"</f>
        <v>00000000</v>
      </c>
      <c r="I1302" t="s">
        <v>39</v>
      </c>
      <c r="J1302"/>
      <c r="K1302">
        <v>406.78</v>
      </c>
      <c r="L1302">
        <v>0.0</v>
      </c>
      <c r="M1302"/>
      <c r="N1302"/>
      <c r="O1302">
        <v>73.22</v>
      </c>
      <c r="P1302">
        <v>0.0</v>
      </c>
      <c r="Q1302">
        <v>480.0</v>
      </c>
      <c r="R1302"/>
      <c r="S1302"/>
      <c r="T1302"/>
      <c r="U1302"/>
      <c r="V1302"/>
      <c r="W1302">
        <v>18</v>
      </c>
    </row>
    <row r="1303" spans="1:23">
      <c r="A1303"/>
      <c r="B1303" t="s">
        <v>94</v>
      </c>
      <c r="C1303" t="s">
        <v>94</v>
      </c>
      <c r="D1303" t="s">
        <v>37</v>
      </c>
      <c r="E1303" t="s">
        <v>38</v>
      </c>
      <c r="F1303" t="str">
        <f>"0001404"</f>
        <v>0001404</v>
      </c>
      <c r="G1303">
        <v>1</v>
      </c>
      <c r="H1303" t="str">
        <f>"00000000"</f>
        <v>00000000</v>
      </c>
      <c r="I1303" t="s">
        <v>39</v>
      </c>
      <c r="J1303"/>
      <c r="K1303">
        <v>305.08</v>
      </c>
      <c r="L1303">
        <v>0.0</v>
      </c>
      <c r="M1303"/>
      <c r="N1303"/>
      <c r="O1303">
        <v>54.92</v>
      </c>
      <c r="P1303">
        <v>0.0</v>
      </c>
      <c r="Q1303">
        <v>360.0</v>
      </c>
      <c r="R1303"/>
      <c r="S1303"/>
      <c r="T1303"/>
      <c r="U1303"/>
      <c r="V1303"/>
      <c r="W1303">
        <v>18</v>
      </c>
    </row>
    <row r="1304" spans="1:23">
      <c r="A1304"/>
      <c r="B1304" t="s">
        <v>94</v>
      </c>
      <c r="C1304" t="s">
        <v>94</v>
      </c>
      <c r="D1304" t="s">
        <v>37</v>
      </c>
      <c r="E1304" t="s">
        <v>38</v>
      </c>
      <c r="F1304" t="str">
        <f>"0001405"</f>
        <v>0001405</v>
      </c>
      <c r="G1304">
        <v>1</v>
      </c>
      <c r="H1304" t="str">
        <f>"00000000"</f>
        <v>00000000</v>
      </c>
      <c r="I1304" t="s">
        <v>39</v>
      </c>
      <c r="J1304"/>
      <c r="K1304">
        <v>317.8</v>
      </c>
      <c r="L1304">
        <v>0.0</v>
      </c>
      <c r="M1304"/>
      <c r="N1304"/>
      <c r="O1304">
        <v>57.2</v>
      </c>
      <c r="P1304">
        <v>0.0</v>
      </c>
      <c r="Q1304">
        <v>375.0</v>
      </c>
      <c r="R1304"/>
      <c r="S1304"/>
      <c r="T1304"/>
      <c r="U1304"/>
      <c r="V1304"/>
      <c r="W1304">
        <v>18</v>
      </c>
    </row>
    <row r="1305" spans="1:23">
      <c r="A1305"/>
      <c r="B1305" t="s">
        <v>94</v>
      </c>
      <c r="C1305" t="s">
        <v>94</v>
      </c>
      <c r="D1305" t="s">
        <v>33</v>
      </c>
      <c r="E1305" t="s">
        <v>34</v>
      </c>
      <c r="F1305" t="str">
        <f>"0000032"</f>
        <v>0000032</v>
      </c>
      <c r="G1305">
        <v>6</v>
      </c>
      <c r="H1305" t="str">
        <f>"20395263952"</f>
        <v>20395263952</v>
      </c>
      <c r="I1305" t="s">
        <v>47</v>
      </c>
      <c r="J1305"/>
      <c r="K1305">
        <v>4237.29</v>
      </c>
      <c r="L1305">
        <v>0.0</v>
      </c>
      <c r="M1305"/>
      <c r="N1305"/>
      <c r="O1305">
        <v>762.71</v>
      </c>
      <c r="P1305">
        <v>0.0</v>
      </c>
      <c r="Q1305">
        <v>5000.0</v>
      </c>
      <c r="R1305"/>
      <c r="S1305"/>
      <c r="T1305"/>
      <c r="U1305"/>
      <c r="V1305"/>
      <c r="W1305">
        <v>18</v>
      </c>
    </row>
    <row r="1306" spans="1:23">
      <c r="A1306"/>
      <c r="B1306" t="s">
        <v>95</v>
      </c>
      <c r="C1306" t="s">
        <v>95</v>
      </c>
      <c r="D1306" t="s">
        <v>37</v>
      </c>
      <c r="E1306" t="s">
        <v>38</v>
      </c>
      <c r="F1306" t="str">
        <f>"0001406"</f>
        <v>0001406</v>
      </c>
      <c r="G1306">
        <v>1</v>
      </c>
      <c r="H1306" t="str">
        <f>"00000000"</f>
        <v>00000000</v>
      </c>
      <c r="I1306" t="s">
        <v>39</v>
      </c>
      <c r="J1306"/>
      <c r="K1306">
        <v>406.78</v>
      </c>
      <c r="L1306">
        <v>0.0</v>
      </c>
      <c r="M1306"/>
      <c r="N1306"/>
      <c r="O1306">
        <v>73.22</v>
      </c>
      <c r="P1306">
        <v>0.0</v>
      </c>
      <c r="Q1306">
        <v>480.0</v>
      </c>
      <c r="R1306"/>
      <c r="S1306"/>
      <c r="T1306"/>
      <c r="U1306"/>
      <c r="V1306"/>
      <c r="W1306">
        <v>18</v>
      </c>
    </row>
    <row r="1307" spans="1:23">
      <c r="A1307"/>
      <c r="B1307" t="s">
        <v>95</v>
      </c>
      <c r="C1307" t="s">
        <v>95</v>
      </c>
      <c r="D1307" t="s">
        <v>37</v>
      </c>
      <c r="E1307" t="s">
        <v>38</v>
      </c>
      <c r="F1307" t="str">
        <f>"0001407"</f>
        <v>0001407</v>
      </c>
      <c r="G1307">
        <v>1</v>
      </c>
      <c r="H1307" t="str">
        <f>"00000000"</f>
        <v>00000000</v>
      </c>
      <c r="I1307" t="s">
        <v>39</v>
      </c>
      <c r="J1307"/>
      <c r="K1307">
        <v>372.88</v>
      </c>
      <c r="L1307">
        <v>0.0</v>
      </c>
      <c r="M1307"/>
      <c r="N1307"/>
      <c r="O1307">
        <v>67.12</v>
      </c>
      <c r="P1307">
        <v>0.0</v>
      </c>
      <c r="Q1307">
        <v>440.0</v>
      </c>
      <c r="R1307"/>
      <c r="S1307"/>
      <c r="T1307"/>
      <c r="U1307"/>
      <c r="V1307"/>
      <c r="W1307">
        <v>18</v>
      </c>
    </row>
    <row r="1308" spans="1:23">
      <c r="A1308"/>
      <c r="B1308" t="s">
        <v>95</v>
      </c>
      <c r="C1308" t="s">
        <v>95</v>
      </c>
      <c r="D1308" t="s">
        <v>37</v>
      </c>
      <c r="E1308" t="s">
        <v>38</v>
      </c>
      <c r="F1308" t="str">
        <f>"0001408"</f>
        <v>0001408</v>
      </c>
      <c r="G1308">
        <v>1</v>
      </c>
      <c r="H1308" t="str">
        <f>"00000000"</f>
        <v>00000000</v>
      </c>
      <c r="I1308" t="s">
        <v>39</v>
      </c>
      <c r="J1308"/>
      <c r="K1308">
        <v>406.78</v>
      </c>
      <c r="L1308">
        <v>0.0</v>
      </c>
      <c r="M1308"/>
      <c r="N1308"/>
      <c r="O1308">
        <v>73.22</v>
      </c>
      <c r="P1308">
        <v>0.0</v>
      </c>
      <c r="Q1308">
        <v>480.0</v>
      </c>
      <c r="R1308"/>
      <c r="S1308"/>
      <c r="T1308"/>
      <c r="U1308"/>
      <c r="V1308"/>
      <c r="W1308">
        <v>18</v>
      </c>
    </row>
    <row r="1309" spans="1:23">
      <c r="A1309"/>
      <c r="B1309" t="s">
        <v>95</v>
      </c>
      <c r="C1309" t="s">
        <v>95</v>
      </c>
      <c r="D1309" t="s">
        <v>37</v>
      </c>
      <c r="E1309" t="s">
        <v>38</v>
      </c>
      <c r="F1309" t="str">
        <f>"0001409"</f>
        <v>0001409</v>
      </c>
      <c r="G1309">
        <v>1</v>
      </c>
      <c r="H1309" t="str">
        <f>"00000000"</f>
        <v>00000000</v>
      </c>
      <c r="I1309" t="s">
        <v>39</v>
      </c>
      <c r="J1309"/>
      <c r="K1309">
        <v>406.78</v>
      </c>
      <c r="L1309">
        <v>0.0</v>
      </c>
      <c r="M1309"/>
      <c r="N1309"/>
      <c r="O1309">
        <v>73.22</v>
      </c>
      <c r="P1309">
        <v>0.0</v>
      </c>
      <c r="Q1309">
        <v>480.0</v>
      </c>
      <c r="R1309"/>
      <c r="S1309"/>
      <c r="T1309"/>
      <c r="U1309"/>
      <c r="V1309"/>
      <c r="W1309">
        <v>18</v>
      </c>
    </row>
    <row r="1310" spans="1:23">
      <c r="A1310"/>
      <c r="B1310" t="s">
        <v>95</v>
      </c>
      <c r="C1310" t="s">
        <v>95</v>
      </c>
      <c r="D1310" t="s">
        <v>37</v>
      </c>
      <c r="E1310" t="s">
        <v>38</v>
      </c>
      <c r="F1310" t="str">
        <f>"0001410"</f>
        <v>0001410</v>
      </c>
      <c r="G1310">
        <v>1</v>
      </c>
      <c r="H1310" t="str">
        <f>"00000000"</f>
        <v>00000000</v>
      </c>
      <c r="I1310" t="s">
        <v>39</v>
      </c>
      <c r="J1310"/>
      <c r="K1310">
        <v>423.73</v>
      </c>
      <c r="L1310">
        <v>0.0</v>
      </c>
      <c r="M1310"/>
      <c r="N1310"/>
      <c r="O1310">
        <v>76.27</v>
      </c>
      <c r="P1310">
        <v>0.0</v>
      </c>
      <c r="Q1310">
        <v>500.0</v>
      </c>
      <c r="R1310"/>
      <c r="S1310"/>
      <c r="T1310"/>
      <c r="U1310"/>
      <c r="V1310"/>
      <c r="W1310">
        <v>18</v>
      </c>
    </row>
    <row r="1311" spans="1:23">
      <c r="A1311"/>
      <c r="B1311" t="s">
        <v>95</v>
      </c>
      <c r="C1311" t="s">
        <v>95</v>
      </c>
      <c r="D1311" t="s">
        <v>37</v>
      </c>
      <c r="E1311" t="s">
        <v>38</v>
      </c>
      <c r="F1311" t="str">
        <f>"0001411"</f>
        <v>0001411</v>
      </c>
      <c r="G1311">
        <v>1</v>
      </c>
      <c r="H1311" t="str">
        <f>"00000000"</f>
        <v>00000000</v>
      </c>
      <c r="I1311" t="s">
        <v>39</v>
      </c>
      <c r="J1311"/>
      <c r="K1311">
        <v>355.93</v>
      </c>
      <c r="L1311">
        <v>0.0</v>
      </c>
      <c r="M1311"/>
      <c r="N1311"/>
      <c r="O1311">
        <v>64.07</v>
      </c>
      <c r="P1311">
        <v>0.0</v>
      </c>
      <c r="Q1311">
        <v>420.0</v>
      </c>
      <c r="R1311"/>
      <c r="S1311"/>
      <c r="T1311"/>
      <c r="U1311"/>
      <c r="V1311"/>
      <c r="W1311">
        <v>18</v>
      </c>
    </row>
    <row r="1312" spans="1:23">
      <c r="A1312"/>
      <c r="B1312" t="s">
        <v>95</v>
      </c>
      <c r="C1312" t="s">
        <v>95</v>
      </c>
      <c r="D1312" t="s">
        <v>37</v>
      </c>
      <c r="E1312" t="s">
        <v>38</v>
      </c>
      <c r="F1312" t="str">
        <f>"0001412"</f>
        <v>0001412</v>
      </c>
      <c r="G1312">
        <v>1</v>
      </c>
      <c r="H1312" t="str">
        <f>"00000000"</f>
        <v>00000000</v>
      </c>
      <c r="I1312" t="s">
        <v>39</v>
      </c>
      <c r="J1312"/>
      <c r="K1312">
        <v>381.36</v>
      </c>
      <c r="L1312">
        <v>0.0</v>
      </c>
      <c r="M1312"/>
      <c r="N1312"/>
      <c r="O1312">
        <v>68.64</v>
      </c>
      <c r="P1312">
        <v>0.0</v>
      </c>
      <c r="Q1312">
        <v>450.0</v>
      </c>
      <c r="R1312"/>
      <c r="S1312"/>
      <c r="T1312"/>
      <c r="U1312"/>
      <c r="V1312"/>
      <c r="W1312">
        <v>18</v>
      </c>
    </row>
    <row r="1313" spans="1:23">
      <c r="A1313"/>
      <c r="B1313" t="s">
        <v>95</v>
      </c>
      <c r="C1313" t="s">
        <v>95</v>
      </c>
      <c r="D1313" t="s">
        <v>37</v>
      </c>
      <c r="E1313" t="s">
        <v>38</v>
      </c>
      <c r="F1313" t="str">
        <f>"0001413"</f>
        <v>0001413</v>
      </c>
      <c r="G1313">
        <v>1</v>
      </c>
      <c r="H1313" t="str">
        <f>"00000000"</f>
        <v>00000000</v>
      </c>
      <c r="I1313" t="s">
        <v>39</v>
      </c>
      <c r="J1313"/>
      <c r="K1313">
        <v>305.08</v>
      </c>
      <c r="L1313">
        <v>0.0</v>
      </c>
      <c r="M1313"/>
      <c r="N1313"/>
      <c r="O1313">
        <v>54.92</v>
      </c>
      <c r="P1313">
        <v>0.0</v>
      </c>
      <c r="Q1313">
        <v>360.0</v>
      </c>
      <c r="R1313"/>
      <c r="S1313"/>
      <c r="T1313"/>
      <c r="U1313"/>
      <c r="V1313"/>
      <c r="W1313">
        <v>18</v>
      </c>
    </row>
    <row r="1314" spans="1:23">
      <c r="A1314"/>
      <c r="B1314" t="s">
        <v>95</v>
      </c>
      <c r="C1314" t="s">
        <v>95</v>
      </c>
      <c r="D1314" t="s">
        <v>37</v>
      </c>
      <c r="E1314" t="s">
        <v>38</v>
      </c>
      <c r="F1314" t="str">
        <f>"0001414"</f>
        <v>0001414</v>
      </c>
      <c r="G1314">
        <v>1</v>
      </c>
      <c r="H1314" t="str">
        <f>"00000000"</f>
        <v>00000000</v>
      </c>
      <c r="I1314" t="s">
        <v>39</v>
      </c>
      <c r="J1314"/>
      <c r="K1314">
        <v>423.73</v>
      </c>
      <c r="L1314">
        <v>0.0</v>
      </c>
      <c r="M1314"/>
      <c r="N1314"/>
      <c r="O1314">
        <v>76.27</v>
      </c>
      <c r="P1314">
        <v>0.0</v>
      </c>
      <c r="Q1314">
        <v>500.0</v>
      </c>
      <c r="R1314"/>
      <c r="S1314"/>
      <c r="T1314"/>
      <c r="U1314"/>
      <c r="V1314"/>
      <c r="W1314">
        <v>18</v>
      </c>
    </row>
    <row r="1315" spans="1:23">
      <c r="A1315"/>
      <c r="B1315" t="s">
        <v>95</v>
      </c>
      <c r="C1315" t="s">
        <v>95</v>
      </c>
      <c r="D1315" t="s">
        <v>37</v>
      </c>
      <c r="E1315" t="s">
        <v>38</v>
      </c>
      <c r="F1315" t="str">
        <f>"0001415"</f>
        <v>0001415</v>
      </c>
      <c r="G1315">
        <v>1</v>
      </c>
      <c r="H1315" t="str">
        <f>"00000000"</f>
        <v>00000000</v>
      </c>
      <c r="I1315" t="s">
        <v>39</v>
      </c>
      <c r="J1315"/>
      <c r="K1315">
        <v>415.25</v>
      </c>
      <c r="L1315">
        <v>0.0</v>
      </c>
      <c r="M1315"/>
      <c r="N1315"/>
      <c r="O1315">
        <v>74.75</v>
      </c>
      <c r="P1315">
        <v>0.0</v>
      </c>
      <c r="Q1315">
        <v>490.0</v>
      </c>
      <c r="R1315"/>
      <c r="S1315"/>
      <c r="T1315"/>
      <c r="U1315"/>
      <c r="V1315"/>
      <c r="W1315">
        <v>18</v>
      </c>
    </row>
    <row r="1316" spans="1:23">
      <c r="A1316"/>
      <c r="B1316" t="s">
        <v>95</v>
      </c>
      <c r="C1316" t="s">
        <v>95</v>
      </c>
      <c r="D1316" t="s">
        <v>37</v>
      </c>
      <c r="E1316" t="s">
        <v>38</v>
      </c>
      <c r="F1316" t="str">
        <f>"0001416"</f>
        <v>0001416</v>
      </c>
      <c r="G1316">
        <v>1</v>
      </c>
      <c r="H1316" t="str">
        <f>"00000000"</f>
        <v>00000000</v>
      </c>
      <c r="I1316" t="s">
        <v>39</v>
      </c>
      <c r="J1316"/>
      <c r="K1316">
        <v>381.36</v>
      </c>
      <c r="L1316">
        <v>0.0</v>
      </c>
      <c r="M1316"/>
      <c r="N1316"/>
      <c r="O1316">
        <v>68.64</v>
      </c>
      <c r="P1316">
        <v>0.0</v>
      </c>
      <c r="Q1316">
        <v>450.0</v>
      </c>
      <c r="R1316"/>
      <c r="S1316"/>
      <c r="T1316"/>
      <c r="U1316"/>
      <c r="V1316"/>
      <c r="W1316">
        <v>18</v>
      </c>
    </row>
    <row r="1317" spans="1:23">
      <c r="A1317"/>
      <c r="B1317" t="s">
        <v>95</v>
      </c>
      <c r="C1317" t="s">
        <v>95</v>
      </c>
      <c r="D1317" t="s">
        <v>37</v>
      </c>
      <c r="E1317" t="s">
        <v>38</v>
      </c>
      <c r="F1317" t="str">
        <f>"0001417"</f>
        <v>0001417</v>
      </c>
      <c r="G1317">
        <v>1</v>
      </c>
      <c r="H1317" t="str">
        <f>"00000000"</f>
        <v>00000000</v>
      </c>
      <c r="I1317" t="s">
        <v>39</v>
      </c>
      <c r="J1317"/>
      <c r="K1317">
        <v>372.88</v>
      </c>
      <c r="L1317">
        <v>0.0</v>
      </c>
      <c r="M1317"/>
      <c r="N1317"/>
      <c r="O1317">
        <v>67.12</v>
      </c>
      <c r="P1317">
        <v>0.0</v>
      </c>
      <c r="Q1317">
        <v>440.0</v>
      </c>
      <c r="R1317"/>
      <c r="S1317"/>
      <c r="T1317"/>
      <c r="U1317"/>
      <c r="V1317"/>
      <c r="W1317">
        <v>18</v>
      </c>
    </row>
    <row r="1318" spans="1:23">
      <c r="A1318"/>
      <c r="B1318" t="s">
        <v>95</v>
      </c>
      <c r="C1318" t="s">
        <v>95</v>
      </c>
      <c r="D1318" t="s">
        <v>37</v>
      </c>
      <c r="E1318" t="s">
        <v>38</v>
      </c>
      <c r="F1318" t="str">
        <f>"0001418"</f>
        <v>0001418</v>
      </c>
      <c r="G1318">
        <v>1</v>
      </c>
      <c r="H1318" t="str">
        <f>"00000000"</f>
        <v>00000000</v>
      </c>
      <c r="I1318" t="s">
        <v>39</v>
      </c>
      <c r="J1318"/>
      <c r="K1318">
        <v>372.88</v>
      </c>
      <c r="L1318">
        <v>0.0</v>
      </c>
      <c r="M1318"/>
      <c r="N1318"/>
      <c r="O1318">
        <v>67.12</v>
      </c>
      <c r="P1318">
        <v>0.0</v>
      </c>
      <c r="Q1318">
        <v>440.0</v>
      </c>
      <c r="R1318"/>
      <c r="S1318"/>
      <c r="T1318"/>
      <c r="U1318"/>
      <c r="V1318"/>
      <c r="W1318">
        <v>18</v>
      </c>
    </row>
    <row r="1319" spans="1:23">
      <c r="A1319"/>
      <c r="B1319" t="s">
        <v>95</v>
      </c>
      <c r="C1319" t="s">
        <v>95</v>
      </c>
      <c r="D1319" t="s">
        <v>37</v>
      </c>
      <c r="E1319" t="s">
        <v>38</v>
      </c>
      <c r="F1319" t="str">
        <f>"0001419"</f>
        <v>0001419</v>
      </c>
      <c r="G1319">
        <v>1</v>
      </c>
      <c r="H1319" t="str">
        <f>"00000000"</f>
        <v>00000000</v>
      </c>
      <c r="I1319" t="s">
        <v>39</v>
      </c>
      <c r="J1319"/>
      <c r="K1319">
        <v>381.36</v>
      </c>
      <c r="L1319">
        <v>0.0</v>
      </c>
      <c r="M1319"/>
      <c r="N1319"/>
      <c r="O1319">
        <v>68.64</v>
      </c>
      <c r="P1319">
        <v>0.0</v>
      </c>
      <c r="Q1319">
        <v>450.0</v>
      </c>
      <c r="R1319"/>
      <c r="S1319"/>
      <c r="T1319"/>
      <c r="U1319"/>
      <c r="V1319"/>
      <c r="W1319">
        <v>18</v>
      </c>
    </row>
    <row r="1320" spans="1:23">
      <c r="A1320"/>
      <c r="B1320" t="s">
        <v>95</v>
      </c>
      <c r="C1320" t="s">
        <v>95</v>
      </c>
      <c r="D1320" t="s">
        <v>37</v>
      </c>
      <c r="E1320" t="s">
        <v>38</v>
      </c>
      <c r="F1320" t="str">
        <f>"0001420"</f>
        <v>0001420</v>
      </c>
      <c r="G1320">
        <v>1</v>
      </c>
      <c r="H1320" t="str">
        <f>"00000000"</f>
        <v>00000000</v>
      </c>
      <c r="I1320" t="s">
        <v>39</v>
      </c>
      <c r="J1320"/>
      <c r="K1320">
        <v>305.08</v>
      </c>
      <c r="L1320">
        <v>0.0</v>
      </c>
      <c r="M1320"/>
      <c r="N1320"/>
      <c r="O1320">
        <v>54.92</v>
      </c>
      <c r="P1320">
        <v>0.0</v>
      </c>
      <c r="Q1320">
        <v>360.0</v>
      </c>
      <c r="R1320"/>
      <c r="S1320"/>
      <c r="T1320"/>
      <c r="U1320"/>
      <c r="V1320"/>
      <c r="W1320">
        <v>18</v>
      </c>
    </row>
    <row r="1321" spans="1:23">
      <c r="A1321"/>
      <c r="B1321" t="s">
        <v>95</v>
      </c>
      <c r="C1321" t="s">
        <v>95</v>
      </c>
      <c r="D1321" t="s">
        <v>37</v>
      </c>
      <c r="E1321" t="s">
        <v>38</v>
      </c>
      <c r="F1321" t="str">
        <f>"0001421"</f>
        <v>0001421</v>
      </c>
      <c r="G1321">
        <v>1</v>
      </c>
      <c r="H1321" t="str">
        <f>"00000000"</f>
        <v>00000000</v>
      </c>
      <c r="I1321" t="s">
        <v>39</v>
      </c>
      <c r="J1321"/>
      <c r="K1321">
        <v>372.88</v>
      </c>
      <c r="L1321">
        <v>0.0</v>
      </c>
      <c r="M1321"/>
      <c r="N1321"/>
      <c r="O1321">
        <v>67.12</v>
      </c>
      <c r="P1321">
        <v>0.0</v>
      </c>
      <c r="Q1321">
        <v>440.0</v>
      </c>
      <c r="R1321"/>
      <c r="S1321"/>
      <c r="T1321"/>
      <c r="U1321"/>
      <c r="V1321"/>
      <c r="W1321">
        <v>18</v>
      </c>
    </row>
    <row r="1322" spans="1:23">
      <c r="A1322"/>
      <c r="B1322" t="s">
        <v>95</v>
      </c>
      <c r="C1322" t="s">
        <v>95</v>
      </c>
      <c r="D1322" t="s">
        <v>37</v>
      </c>
      <c r="E1322" t="s">
        <v>38</v>
      </c>
      <c r="F1322" t="str">
        <f>"0001422"</f>
        <v>0001422</v>
      </c>
      <c r="G1322">
        <v>1</v>
      </c>
      <c r="H1322" t="str">
        <f>"00000000"</f>
        <v>00000000</v>
      </c>
      <c r="I1322" t="s">
        <v>39</v>
      </c>
      <c r="J1322"/>
      <c r="K1322">
        <v>406.78</v>
      </c>
      <c r="L1322">
        <v>0.0</v>
      </c>
      <c r="M1322"/>
      <c r="N1322"/>
      <c r="O1322">
        <v>73.22</v>
      </c>
      <c r="P1322">
        <v>0.0</v>
      </c>
      <c r="Q1322">
        <v>480.0</v>
      </c>
      <c r="R1322"/>
      <c r="S1322"/>
      <c r="T1322"/>
      <c r="U1322"/>
      <c r="V1322"/>
      <c r="W1322">
        <v>18</v>
      </c>
    </row>
    <row r="1323" spans="1:23">
      <c r="A1323"/>
      <c r="B1323" t="s">
        <v>95</v>
      </c>
      <c r="C1323" t="s">
        <v>95</v>
      </c>
      <c r="D1323" t="s">
        <v>37</v>
      </c>
      <c r="E1323" t="s">
        <v>38</v>
      </c>
      <c r="F1323" t="str">
        <f>"0001423"</f>
        <v>0001423</v>
      </c>
      <c r="G1323">
        <v>1</v>
      </c>
      <c r="H1323" t="str">
        <f>"00000000"</f>
        <v>00000000</v>
      </c>
      <c r="I1323" t="s">
        <v>39</v>
      </c>
      <c r="J1323"/>
      <c r="K1323">
        <v>398.31</v>
      </c>
      <c r="L1323">
        <v>0.0</v>
      </c>
      <c r="M1323"/>
      <c r="N1323"/>
      <c r="O1323">
        <v>71.69</v>
      </c>
      <c r="P1323">
        <v>0.0</v>
      </c>
      <c r="Q1323">
        <v>470.0</v>
      </c>
      <c r="R1323"/>
      <c r="S1323"/>
      <c r="T1323"/>
      <c r="U1323"/>
      <c r="V1323"/>
      <c r="W1323">
        <v>18</v>
      </c>
    </row>
    <row r="1324" spans="1:23">
      <c r="A1324"/>
      <c r="B1324" t="s">
        <v>95</v>
      </c>
      <c r="C1324" t="s">
        <v>95</v>
      </c>
      <c r="D1324" t="s">
        <v>37</v>
      </c>
      <c r="E1324" t="s">
        <v>38</v>
      </c>
      <c r="F1324" t="str">
        <f>"0001424"</f>
        <v>0001424</v>
      </c>
      <c r="G1324">
        <v>1</v>
      </c>
      <c r="H1324" t="str">
        <f>"00000000"</f>
        <v>00000000</v>
      </c>
      <c r="I1324" t="s">
        <v>39</v>
      </c>
      <c r="J1324"/>
      <c r="K1324">
        <v>398.31</v>
      </c>
      <c r="L1324">
        <v>0.0</v>
      </c>
      <c r="M1324"/>
      <c r="N1324"/>
      <c r="O1324">
        <v>71.69</v>
      </c>
      <c r="P1324">
        <v>0.0</v>
      </c>
      <c r="Q1324">
        <v>470.0</v>
      </c>
      <c r="R1324"/>
      <c r="S1324"/>
      <c r="T1324"/>
      <c r="U1324"/>
      <c r="V1324"/>
      <c r="W1324">
        <v>18</v>
      </c>
    </row>
    <row r="1325" spans="1:23">
      <c r="A1325"/>
      <c r="B1325" t="s">
        <v>95</v>
      </c>
      <c r="C1325" t="s">
        <v>95</v>
      </c>
      <c r="D1325" t="s">
        <v>37</v>
      </c>
      <c r="E1325" t="s">
        <v>38</v>
      </c>
      <c r="F1325" t="str">
        <f>"0001425"</f>
        <v>0001425</v>
      </c>
      <c r="G1325">
        <v>1</v>
      </c>
      <c r="H1325" t="str">
        <f>"00000000"</f>
        <v>00000000</v>
      </c>
      <c r="I1325" t="s">
        <v>39</v>
      </c>
      <c r="J1325"/>
      <c r="K1325">
        <v>398.31</v>
      </c>
      <c r="L1325">
        <v>0.0</v>
      </c>
      <c r="M1325"/>
      <c r="N1325"/>
      <c r="O1325">
        <v>71.69</v>
      </c>
      <c r="P1325">
        <v>0.0</v>
      </c>
      <c r="Q1325">
        <v>470.0</v>
      </c>
      <c r="R1325"/>
      <c r="S1325"/>
      <c r="T1325"/>
      <c r="U1325"/>
      <c r="V1325"/>
      <c r="W1325">
        <v>18</v>
      </c>
    </row>
    <row r="1326" spans="1:23">
      <c r="A1326"/>
      <c r="B1326" t="s">
        <v>95</v>
      </c>
      <c r="C1326" t="s">
        <v>95</v>
      </c>
      <c r="D1326" t="s">
        <v>37</v>
      </c>
      <c r="E1326" t="s">
        <v>38</v>
      </c>
      <c r="F1326" t="str">
        <f>"0001426"</f>
        <v>0001426</v>
      </c>
      <c r="G1326">
        <v>1</v>
      </c>
      <c r="H1326" t="str">
        <f>"00000000"</f>
        <v>00000000</v>
      </c>
      <c r="I1326" t="s">
        <v>39</v>
      </c>
      <c r="J1326"/>
      <c r="K1326">
        <v>406.78</v>
      </c>
      <c r="L1326">
        <v>0.0</v>
      </c>
      <c r="M1326"/>
      <c r="N1326"/>
      <c r="O1326">
        <v>73.22</v>
      </c>
      <c r="P1326">
        <v>0.0</v>
      </c>
      <c r="Q1326">
        <v>480.0</v>
      </c>
      <c r="R1326"/>
      <c r="S1326"/>
      <c r="T1326"/>
      <c r="U1326"/>
      <c r="V1326"/>
      <c r="W1326">
        <v>18</v>
      </c>
    </row>
    <row r="1327" spans="1:23">
      <c r="A1327"/>
      <c r="B1327" t="s">
        <v>95</v>
      </c>
      <c r="C1327" t="s">
        <v>95</v>
      </c>
      <c r="D1327" t="s">
        <v>37</v>
      </c>
      <c r="E1327" t="s">
        <v>38</v>
      </c>
      <c r="F1327" t="str">
        <f>"0001427"</f>
        <v>0001427</v>
      </c>
      <c r="G1327">
        <v>1</v>
      </c>
      <c r="H1327" t="str">
        <f>"00000000"</f>
        <v>00000000</v>
      </c>
      <c r="I1327" t="s">
        <v>39</v>
      </c>
      <c r="J1327"/>
      <c r="K1327">
        <v>406.78</v>
      </c>
      <c r="L1327">
        <v>0.0</v>
      </c>
      <c r="M1327"/>
      <c r="N1327"/>
      <c r="O1327">
        <v>73.22</v>
      </c>
      <c r="P1327">
        <v>0.0</v>
      </c>
      <c r="Q1327">
        <v>480.0</v>
      </c>
      <c r="R1327"/>
      <c r="S1327"/>
      <c r="T1327"/>
      <c r="U1327"/>
      <c r="V1327"/>
      <c r="W1327">
        <v>18</v>
      </c>
    </row>
    <row r="1328" spans="1:23">
      <c r="A1328"/>
      <c r="B1328" t="s">
        <v>95</v>
      </c>
      <c r="C1328" t="s">
        <v>95</v>
      </c>
      <c r="D1328" t="s">
        <v>37</v>
      </c>
      <c r="E1328" t="s">
        <v>38</v>
      </c>
      <c r="F1328" t="str">
        <f>"0001428"</f>
        <v>0001428</v>
      </c>
      <c r="G1328">
        <v>1</v>
      </c>
      <c r="H1328" t="str">
        <f>"00000000"</f>
        <v>00000000</v>
      </c>
      <c r="I1328" t="s">
        <v>39</v>
      </c>
      <c r="J1328"/>
      <c r="K1328">
        <v>406.78</v>
      </c>
      <c r="L1328">
        <v>0.0</v>
      </c>
      <c r="M1328"/>
      <c r="N1328"/>
      <c r="O1328">
        <v>73.22</v>
      </c>
      <c r="P1328">
        <v>0.0</v>
      </c>
      <c r="Q1328">
        <v>480.0</v>
      </c>
      <c r="R1328"/>
      <c r="S1328"/>
      <c r="T1328"/>
      <c r="U1328"/>
      <c r="V1328"/>
      <c r="W1328">
        <v>18</v>
      </c>
    </row>
    <row r="1329" spans="1:23">
      <c r="A1329"/>
      <c r="B1329" t="s">
        <v>95</v>
      </c>
      <c r="C1329" t="s">
        <v>95</v>
      </c>
      <c r="D1329" t="s">
        <v>37</v>
      </c>
      <c r="E1329" t="s">
        <v>38</v>
      </c>
      <c r="F1329" t="str">
        <f>"0001429"</f>
        <v>0001429</v>
      </c>
      <c r="G1329">
        <v>1</v>
      </c>
      <c r="H1329" t="str">
        <f>"00000000"</f>
        <v>00000000</v>
      </c>
      <c r="I1329" t="s">
        <v>39</v>
      </c>
      <c r="J1329"/>
      <c r="K1329">
        <v>398.31</v>
      </c>
      <c r="L1329">
        <v>0.0</v>
      </c>
      <c r="M1329"/>
      <c r="N1329"/>
      <c r="O1329">
        <v>71.69</v>
      </c>
      <c r="P1329">
        <v>0.0</v>
      </c>
      <c r="Q1329">
        <v>470.0</v>
      </c>
      <c r="R1329"/>
      <c r="S1329"/>
      <c r="T1329"/>
      <c r="U1329"/>
      <c r="V1329"/>
      <c r="W1329">
        <v>18</v>
      </c>
    </row>
    <row r="1330" spans="1:23">
      <c r="A1330"/>
      <c r="B1330" t="s">
        <v>95</v>
      </c>
      <c r="C1330" t="s">
        <v>95</v>
      </c>
      <c r="D1330" t="s">
        <v>37</v>
      </c>
      <c r="E1330" t="s">
        <v>38</v>
      </c>
      <c r="F1330" t="str">
        <f>"0001430"</f>
        <v>0001430</v>
      </c>
      <c r="G1330">
        <v>1</v>
      </c>
      <c r="H1330" t="str">
        <f>"00000000"</f>
        <v>00000000</v>
      </c>
      <c r="I1330" t="s">
        <v>39</v>
      </c>
      <c r="J1330"/>
      <c r="K1330">
        <v>381.36</v>
      </c>
      <c r="L1330">
        <v>0.0</v>
      </c>
      <c r="M1330"/>
      <c r="N1330"/>
      <c r="O1330">
        <v>68.64</v>
      </c>
      <c r="P1330">
        <v>0.0</v>
      </c>
      <c r="Q1330">
        <v>450.0</v>
      </c>
      <c r="R1330"/>
      <c r="S1330"/>
      <c r="T1330"/>
      <c r="U1330"/>
      <c r="V1330"/>
      <c r="W1330">
        <v>18</v>
      </c>
    </row>
    <row r="1331" spans="1:23">
      <c r="A1331"/>
      <c r="B1331" t="s">
        <v>95</v>
      </c>
      <c r="C1331" t="s">
        <v>95</v>
      </c>
      <c r="D1331" t="s">
        <v>37</v>
      </c>
      <c r="E1331" t="s">
        <v>38</v>
      </c>
      <c r="F1331" t="str">
        <f>"0001431"</f>
        <v>0001431</v>
      </c>
      <c r="G1331">
        <v>1</v>
      </c>
      <c r="H1331" t="str">
        <f>"00000000"</f>
        <v>00000000</v>
      </c>
      <c r="I1331" t="s">
        <v>39</v>
      </c>
      <c r="J1331"/>
      <c r="K1331">
        <v>288.14</v>
      </c>
      <c r="L1331">
        <v>0.0</v>
      </c>
      <c r="M1331"/>
      <c r="N1331"/>
      <c r="O1331">
        <v>51.86</v>
      </c>
      <c r="P1331">
        <v>0.0</v>
      </c>
      <c r="Q1331">
        <v>340.0</v>
      </c>
      <c r="R1331"/>
      <c r="S1331"/>
      <c r="T1331"/>
      <c r="U1331"/>
      <c r="V1331"/>
      <c r="W1331">
        <v>18</v>
      </c>
    </row>
    <row r="1332" spans="1:23">
      <c r="A1332"/>
      <c r="B1332" t="s">
        <v>95</v>
      </c>
      <c r="C1332" t="s">
        <v>95</v>
      </c>
      <c r="D1332" t="s">
        <v>37</v>
      </c>
      <c r="E1332" t="s">
        <v>38</v>
      </c>
      <c r="F1332" t="str">
        <f>"0001432"</f>
        <v>0001432</v>
      </c>
      <c r="G1332">
        <v>1</v>
      </c>
      <c r="H1332" t="str">
        <f>"00000000"</f>
        <v>00000000</v>
      </c>
      <c r="I1332" t="s">
        <v>39</v>
      </c>
      <c r="J1332"/>
      <c r="K1332">
        <v>381.36</v>
      </c>
      <c r="L1332">
        <v>0.0</v>
      </c>
      <c r="M1332"/>
      <c r="N1332"/>
      <c r="O1332">
        <v>68.64</v>
      </c>
      <c r="P1332">
        <v>0.0</v>
      </c>
      <c r="Q1332">
        <v>450.0</v>
      </c>
      <c r="R1332"/>
      <c r="S1332"/>
      <c r="T1332"/>
      <c r="U1332"/>
      <c r="V1332"/>
      <c r="W1332">
        <v>18</v>
      </c>
    </row>
    <row r="1333" spans="1:23">
      <c r="A1333"/>
      <c r="B1333" t="s">
        <v>95</v>
      </c>
      <c r="C1333" t="s">
        <v>95</v>
      </c>
      <c r="D1333" t="s">
        <v>37</v>
      </c>
      <c r="E1333" t="s">
        <v>38</v>
      </c>
      <c r="F1333" t="str">
        <f>"0001433"</f>
        <v>0001433</v>
      </c>
      <c r="G1333">
        <v>1</v>
      </c>
      <c r="H1333" t="str">
        <f>"00000000"</f>
        <v>00000000</v>
      </c>
      <c r="I1333" t="s">
        <v>39</v>
      </c>
      <c r="J1333"/>
      <c r="K1333">
        <v>305.08</v>
      </c>
      <c r="L1333">
        <v>0.0</v>
      </c>
      <c r="M1333"/>
      <c r="N1333"/>
      <c r="O1333">
        <v>54.92</v>
      </c>
      <c r="P1333">
        <v>0.0</v>
      </c>
      <c r="Q1333">
        <v>360.0</v>
      </c>
      <c r="R1333"/>
      <c r="S1333"/>
      <c r="T1333"/>
      <c r="U1333"/>
      <c r="V1333"/>
      <c r="W1333">
        <v>18</v>
      </c>
    </row>
    <row r="1334" spans="1:23">
      <c r="A1334"/>
      <c r="B1334" t="s">
        <v>95</v>
      </c>
      <c r="C1334" t="s">
        <v>95</v>
      </c>
      <c r="D1334" t="s">
        <v>37</v>
      </c>
      <c r="E1334" t="s">
        <v>38</v>
      </c>
      <c r="F1334" t="str">
        <f>"0001434"</f>
        <v>0001434</v>
      </c>
      <c r="G1334">
        <v>1</v>
      </c>
      <c r="H1334" t="str">
        <f>"00000000"</f>
        <v>00000000</v>
      </c>
      <c r="I1334" t="s">
        <v>39</v>
      </c>
      <c r="J1334"/>
      <c r="K1334">
        <v>389.83</v>
      </c>
      <c r="L1334">
        <v>0.0</v>
      </c>
      <c r="M1334"/>
      <c r="N1334"/>
      <c r="O1334">
        <v>70.17</v>
      </c>
      <c r="P1334">
        <v>0.0</v>
      </c>
      <c r="Q1334">
        <v>460.0</v>
      </c>
      <c r="R1334"/>
      <c r="S1334"/>
      <c r="T1334"/>
      <c r="U1334"/>
      <c r="V1334"/>
      <c r="W1334">
        <v>18</v>
      </c>
    </row>
    <row r="1335" spans="1:23">
      <c r="A1335"/>
      <c r="B1335" t="s">
        <v>95</v>
      </c>
      <c r="C1335" t="s">
        <v>95</v>
      </c>
      <c r="D1335" t="s">
        <v>37</v>
      </c>
      <c r="E1335" t="s">
        <v>38</v>
      </c>
      <c r="F1335" t="str">
        <f>"0001435"</f>
        <v>0001435</v>
      </c>
      <c r="G1335">
        <v>1</v>
      </c>
      <c r="H1335" t="str">
        <f>"00000000"</f>
        <v>00000000</v>
      </c>
      <c r="I1335" t="s">
        <v>39</v>
      </c>
      <c r="J1335"/>
      <c r="K1335">
        <v>423.73</v>
      </c>
      <c r="L1335">
        <v>0.0</v>
      </c>
      <c r="M1335"/>
      <c r="N1335"/>
      <c r="O1335">
        <v>76.27</v>
      </c>
      <c r="P1335">
        <v>0.0</v>
      </c>
      <c r="Q1335">
        <v>500.0</v>
      </c>
      <c r="R1335"/>
      <c r="S1335"/>
      <c r="T1335"/>
      <c r="U1335"/>
      <c r="V1335"/>
      <c r="W1335">
        <v>18</v>
      </c>
    </row>
    <row r="1336" spans="1:23">
      <c r="A1336"/>
      <c r="B1336" t="s">
        <v>95</v>
      </c>
      <c r="C1336" t="s">
        <v>95</v>
      </c>
      <c r="D1336" t="s">
        <v>37</v>
      </c>
      <c r="E1336" t="s">
        <v>38</v>
      </c>
      <c r="F1336" t="str">
        <f>"0001436"</f>
        <v>0001436</v>
      </c>
      <c r="G1336">
        <v>1</v>
      </c>
      <c r="H1336" t="str">
        <f>"00000000"</f>
        <v>00000000</v>
      </c>
      <c r="I1336" t="s">
        <v>39</v>
      </c>
      <c r="J1336"/>
      <c r="K1336">
        <v>381.36</v>
      </c>
      <c r="L1336">
        <v>0.0</v>
      </c>
      <c r="M1336"/>
      <c r="N1336"/>
      <c r="O1336">
        <v>68.64</v>
      </c>
      <c r="P1336">
        <v>0.0</v>
      </c>
      <c r="Q1336">
        <v>450.0</v>
      </c>
      <c r="R1336"/>
      <c r="S1336"/>
      <c r="T1336"/>
      <c r="U1336"/>
      <c r="V1336"/>
      <c r="W1336">
        <v>18</v>
      </c>
    </row>
    <row r="1337" spans="1:23">
      <c r="A1337"/>
      <c r="B1337" t="s">
        <v>95</v>
      </c>
      <c r="C1337" t="s">
        <v>95</v>
      </c>
      <c r="D1337" t="s">
        <v>37</v>
      </c>
      <c r="E1337" t="s">
        <v>38</v>
      </c>
      <c r="F1337" t="str">
        <f>"0001437"</f>
        <v>0001437</v>
      </c>
      <c r="G1337">
        <v>1</v>
      </c>
      <c r="H1337" t="str">
        <f>"00000000"</f>
        <v>00000000</v>
      </c>
      <c r="I1337" t="s">
        <v>39</v>
      </c>
      <c r="J1337"/>
      <c r="K1337">
        <v>381.36</v>
      </c>
      <c r="L1337">
        <v>0.0</v>
      </c>
      <c r="M1337"/>
      <c r="N1337"/>
      <c r="O1337">
        <v>68.64</v>
      </c>
      <c r="P1337">
        <v>0.0</v>
      </c>
      <c r="Q1337">
        <v>450.0</v>
      </c>
      <c r="R1337"/>
      <c r="S1337"/>
      <c r="T1337"/>
      <c r="U1337"/>
      <c r="V1337"/>
      <c r="W1337">
        <v>18</v>
      </c>
    </row>
    <row r="1338" spans="1:23">
      <c r="A1338"/>
      <c r="B1338" t="s">
        <v>95</v>
      </c>
      <c r="C1338" t="s">
        <v>95</v>
      </c>
      <c r="D1338" t="s">
        <v>37</v>
      </c>
      <c r="E1338" t="s">
        <v>38</v>
      </c>
      <c r="F1338" t="str">
        <f>"0001438"</f>
        <v>0001438</v>
      </c>
      <c r="G1338">
        <v>1</v>
      </c>
      <c r="H1338" t="str">
        <f>"00000000"</f>
        <v>00000000</v>
      </c>
      <c r="I1338" t="s">
        <v>39</v>
      </c>
      <c r="J1338"/>
      <c r="K1338">
        <v>406.78</v>
      </c>
      <c r="L1338">
        <v>0.0</v>
      </c>
      <c r="M1338"/>
      <c r="N1338"/>
      <c r="O1338">
        <v>73.22</v>
      </c>
      <c r="P1338">
        <v>0.0</v>
      </c>
      <c r="Q1338">
        <v>480.0</v>
      </c>
      <c r="R1338"/>
      <c r="S1338"/>
      <c r="T1338"/>
      <c r="U1338"/>
      <c r="V1338"/>
      <c r="W1338">
        <v>18</v>
      </c>
    </row>
    <row r="1339" spans="1:23">
      <c r="A1339"/>
      <c r="B1339" t="s">
        <v>95</v>
      </c>
      <c r="C1339" t="s">
        <v>95</v>
      </c>
      <c r="D1339" t="s">
        <v>37</v>
      </c>
      <c r="E1339" t="s">
        <v>38</v>
      </c>
      <c r="F1339" t="str">
        <f>"0001439"</f>
        <v>0001439</v>
      </c>
      <c r="G1339">
        <v>1</v>
      </c>
      <c r="H1339" t="str">
        <f>"00000000"</f>
        <v>00000000</v>
      </c>
      <c r="I1339" t="s">
        <v>39</v>
      </c>
      <c r="J1339"/>
      <c r="K1339">
        <v>254.24</v>
      </c>
      <c r="L1339">
        <v>0.0</v>
      </c>
      <c r="M1339"/>
      <c r="N1339"/>
      <c r="O1339">
        <v>45.76</v>
      </c>
      <c r="P1339">
        <v>0.0</v>
      </c>
      <c r="Q1339">
        <v>300.0</v>
      </c>
      <c r="R1339"/>
      <c r="S1339"/>
      <c r="T1339"/>
      <c r="U1339"/>
      <c r="V1339"/>
      <c r="W1339">
        <v>18</v>
      </c>
    </row>
    <row r="1340" spans="1:23">
      <c r="A1340"/>
      <c r="B1340" t="s">
        <v>95</v>
      </c>
      <c r="C1340" t="s">
        <v>95</v>
      </c>
      <c r="D1340" t="s">
        <v>37</v>
      </c>
      <c r="E1340" t="s">
        <v>38</v>
      </c>
      <c r="F1340" t="str">
        <f>"0001440"</f>
        <v>0001440</v>
      </c>
      <c r="G1340">
        <v>1</v>
      </c>
      <c r="H1340" t="str">
        <f>"00000000"</f>
        <v>00000000</v>
      </c>
      <c r="I1340" t="s">
        <v>39</v>
      </c>
      <c r="J1340"/>
      <c r="K1340">
        <v>338.98</v>
      </c>
      <c r="L1340">
        <v>0.0</v>
      </c>
      <c r="M1340"/>
      <c r="N1340"/>
      <c r="O1340">
        <v>61.02</v>
      </c>
      <c r="P1340">
        <v>0.0</v>
      </c>
      <c r="Q1340">
        <v>400.0</v>
      </c>
      <c r="R1340"/>
      <c r="S1340"/>
      <c r="T1340"/>
      <c r="U1340"/>
      <c r="V1340"/>
      <c r="W1340">
        <v>18</v>
      </c>
    </row>
    <row r="1341" spans="1:23">
      <c r="A1341"/>
      <c r="B1341" t="s">
        <v>95</v>
      </c>
      <c r="C1341" t="s">
        <v>95</v>
      </c>
      <c r="D1341" t="s">
        <v>37</v>
      </c>
      <c r="E1341" t="s">
        <v>38</v>
      </c>
      <c r="F1341" t="str">
        <f>"0001441"</f>
        <v>0001441</v>
      </c>
      <c r="G1341">
        <v>1</v>
      </c>
      <c r="H1341" t="str">
        <f>"00000000"</f>
        <v>00000000</v>
      </c>
      <c r="I1341" t="s">
        <v>39</v>
      </c>
      <c r="J1341"/>
      <c r="K1341">
        <v>355.93</v>
      </c>
      <c r="L1341">
        <v>0.0</v>
      </c>
      <c r="M1341"/>
      <c r="N1341"/>
      <c r="O1341">
        <v>64.07</v>
      </c>
      <c r="P1341">
        <v>0.0</v>
      </c>
      <c r="Q1341">
        <v>420.0</v>
      </c>
      <c r="R1341"/>
      <c r="S1341"/>
      <c r="T1341"/>
      <c r="U1341"/>
      <c r="V1341"/>
      <c r="W1341">
        <v>18</v>
      </c>
    </row>
    <row r="1342" spans="1:23">
      <c r="A1342"/>
      <c r="B1342" t="s">
        <v>95</v>
      </c>
      <c r="C1342" t="s">
        <v>95</v>
      </c>
      <c r="D1342" t="s">
        <v>37</v>
      </c>
      <c r="E1342" t="s">
        <v>38</v>
      </c>
      <c r="F1342" t="str">
        <f>"0001442"</f>
        <v>0001442</v>
      </c>
      <c r="G1342">
        <v>1</v>
      </c>
      <c r="H1342" t="str">
        <f>"00000000"</f>
        <v>00000000</v>
      </c>
      <c r="I1342" t="s">
        <v>39</v>
      </c>
      <c r="J1342"/>
      <c r="K1342">
        <v>406.78</v>
      </c>
      <c r="L1342">
        <v>0.0</v>
      </c>
      <c r="M1342"/>
      <c r="N1342"/>
      <c r="O1342">
        <v>73.22</v>
      </c>
      <c r="P1342">
        <v>0.0</v>
      </c>
      <c r="Q1342">
        <v>480.0</v>
      </c>
      <c r="R1342"/>
      <c r="S1342"/>
      <c r="T1342"/>
      <c r="U1342"/>
      <c r="V1342"/>
      <c r="W1342">
        <v>18</v>
      </c>
    </row>
    <row r="1343" spans="1:23">
      <c r="A1343"/>
      <c r="B1343" t="s">
        <v>95</v>
      </c>
      <c r="C1343" t="s">
        <v>95</v>
      </c>
      <c r="D1343" t="s">
        <v>37</v>
      </c>
      <c r="E1343" t="s">
        <v>38</v>
      </c>
      <c r="F1343" t="str">
        <f>"0001443"</f>
        <v>0001443</v>
      </c>
      <c r="G1343">
        <v>1</v>
      </c>
      <c r="H1343" t="str">
        <f>"00000000"</f>
        <v>00000000</v>
      </c>
      <c r="I1343" t="s">
        <v>39</v>
      </c>
      <c r="J1343"/>
      <c r="K1343">
        <v>355.93</v>
      </c>
      <c r="L1343">
        <v>0.0</v>
      </c>
      <c r="M1343"/>
      <c r="N1343"/>
      <c r="O1343">
        <v>64.07</v>
      </c>
      <c r="P1343">
        <v>0.0</v>
      </c>
      <c r="Q1343">
        <v>420.0</v>
      </c>
      <c r="R1343"/>
      <c r="S1343"/>
      <c r="T1343"/>
      <c r="U1343"/>
      <c r="V1343"/>
      <c r="W1343">
        <v>18</v>
      </c>
    </row>
    <row r="1344" spans="1:23">
      <c r="A1344"/>
      <c r="B1344" t="s">
        <v>95</v>
      </c>
      <c r="C1344" t="s">
        <v>95</v>
      </c>
      <c r="D1344" t="s">
        <v>37</v>
      </c>
      <c r="E1344" t="s">
        <v>38</v>
      </c>
      <c r="F1344" t="str">
        <f>"0001444"</f>
        <v>0001444</v>
      </c>
      <c r="G1344">
        <v>1</v>
      </c>
      <c r="H1344" t="str">
        <f>"00000000"</f>
        <v>00000000</v>
      </c>
      <c r="I1344" t="s">
        <v>39</v>
      </c>
      <c r="J1344"/>
      <c r="K1344">
        <v>343.22</v>
      </c>
      <c r="L1344">
        <v>0.0</v>
      </c>
      <c r="M1344"/>
      <c r="N1344"/>
      <c r="O1344">
        <v>61.78</v>
      </c>
      <c r="P1344">
        <v>0.0</v>
      </c>
      <c r="Q1344">
        <v>405.0</v>
      </c>
      <c r="R1344"/>
      <c r="S1344"/>
      <c r="T1344"/>
      <c r="U1344"/>
      <c r="V1344"/>
      <c r="W1344">
        <v>18</v>
      </c>
    </row>
    <row r="1345" spans="1:23">
      <c r="A1345"/>
      <c r="B1345" t="s">
        <v>95</v>
      </c>
      <c r="C1345" t="s">
        <v>95</v>
      </c>
      <c r="D1345" t="s">
        <v>37</v>
      </c>
      <c r="E1345" t="s">
        <v>38</v>
      </c>
      <c r="F1345" t="str">
        <f>"0001445"</f>
        <v>0001445</v>
      </c>
      <c r="G1345">
        <v>1</v>
      </c>
      <c r="H1345" t="str">
        <f>"00000000"</f>
        <v>00000000</v>
      </c>
      <c r="I1345" t="s">
        <v>39</v>
      </c>
      <c r="J1345"/>
      <c r="K1345">
        <v>406.78</v>
      </c>
      <c r="L1345">
        <v>0.0</v>
      </c>
      <c r="M1345"/>
      <c r="N1345"/>
      <c r="O1345">
        <v>73.22</v>
      </c>
      <c r="P1345">
        <v>0.0</v>
      </c>
      <c r="Q1345">
        <v>480.0</v>
      </c>
      <c r="R1345"/>
      <c r="S1345"/>
      <c r="T1345"/>
      <c r="U1345"/>
      <c r="V1345"/>
      <c r="W1345">
        <v>18</v>
      </c>
    </row>
    <row r="1346" spans="1:23">
      <c r="A1346"/>
      <c r="B1346" t="s">
        <v>95</v>
      </c>
      <c r="C1346" t="s">
        <v>95</v>
      </c>
      <c r="D1346" t="s">
        <v>37</v>
      </c>
      <c r="E1346" t="s">
        <v>38</v>
      </c>
      <c r="F1346" t="str">
        <f>"0001446"</f>
        <v>0001446</v>
      </c>
      <c r="G1346">
        <v>1</v>
      </c>
      <c r="H1346" t="str">
        <f>"00000000"</f>
        <v>00000000</v>
      </c>
      <c r="I1346" t="s">
        <v>39</v>
      </c>
      <c r="J1346"/>
      <c r="K1346">
        <v>423.73</v>
      </c>
      <c r="L1346">
        <v>0.0</v>
      </c>
      <c r="M1346"/>
      <c r="N1346"/>
      <c r="O1346">
        <v>76.27</v>
      </c>
      <c r="P1346">
        <v>0.0</v>
      </c>
      <c r="Q1346">
        <v>500.0</v>
      </c>
      <c r="R1346"/>
      <c r="S1346"/>
      <c r="T1346"/>
      <c r="U1346"/>
      <c r="V1346"/>
      <c r="W1346">
        <v>18</v>
      </c>
    </row>
    <row r="1347" spans="1:23">
      <c r="A1347"/>
      <c r="B1347" t="s">
        <v>95</v>
      </c>
      <c r="C1347" t="s">
        <v>95</v>
      </c>
      <c r="D1347" t="s">
        <v>37</v>
      </c>
      <c r="E1347" t="s">
        <v>38</v>
      </c>
      <c r="F1347" t="str">
        <f>"0001447"</f>
        <v>0001447</v>
      </c>
      <c r="G1347">
        <v>1</v>
      </c>
      <c r="H1347" t="str">
        <f>"00000000"</f>
        <v>00000000</v>
      </c>
      <c r="I1347" t="s">
        <v>39</v>
      </c>
      <c r="J1347"/>
      <c r="K1347">
        <v>296.61</v>
      </c>
      <c r="L1347">
        <v>0.0</v>
      </c>
      <c r="M1347"/>
      <c r="N1347"/>
      <c r="O1347">
        <v>53.39</v>
      </c>
      <c r="P1347">
        <v>0.0</v>
      </c>
      <c r="Q1347">
        <v>350.0</v>
      </c>
      <c r="R1347"/>
      <c r="S1347"/>
      <c r="T1347"/>
      <c r="U1347"/>
      <c r="V1347"/>
      <c r="W1347">
        <v>18</v>
      </c>
    </row>
    <row r="1348" spans="1:23">
      <c r="A1348"/>
      <c r="B1348" t="s">
        <v>95</v>
      </c>
      <c r="C1348" t="s">
        <v>95</v>
      </c>
      <c r="D1348" t="s">
        <v>37</v>
      </c>
      <c r="E1348" t="s">
        <v>38</v>
      </c>
      <c r="F1348" t="str">
        <f>"0001448"</f>
        <v>0001448</v>
      </c>
      <c r="G1348">
        <v>1</v>
      </c>
      <c r="H1348" t="str">
        <f>"00000000"</f>
        <v>00000000</v>
      </c>
      <c r="I1348" t="s">
        <v>39</v>
      </c>
      <c r="J1348"/>
      <c r="K1348">
        <v>381.36</v>
      </c>
      <c r="L1348">
        <v>0.0</v>
      </c>
      <c r="M1348"/>
      <c r="N1348"/>
      <c r="O1348">
        <v>68.64</v>
      </c>
      <c r="P1348">
        <v>0.0</v>
      </c>
      <c r="Q1348">
        <v>450.0</v>
      </c>
      <c r="R1348"/>
      <c r="S1348"/>
      <c r="T1348"/>
      <c r="U1348"/>
      <c r="V1348"/>
      <c r="W1348">
        <v>18</v>
      </c>
    </row>
    <row r="1349" spans="1:23">
      <c r="A1349"/>
      <c r="B1349" t="s">
        <v>95</v>
      </c>
      <c r="C1349" t="s">
        <v>95</v>
      </c>
      <c r="D1349" t="s">
        <v>37</v>
      </c>
      <c r="E1349" t="s">
        <v>38</v>
      </c>
      <c r="F1349" t="str">
        <f>"0001449"</f>
        <v>0001449</v>
      </c>
      <c r="G1349">
        <v>1</v>
      </c>
      <c r="H1349" t="str">
        <f>"00000000"</f>
        <v>00000000</v>
      </c>
      <c r="I1349" t="s">
        <v>39</v>
      </c>
      <c r="J1349"/>
      <c r="K1349">
        <v>389.83</v>
      </c>
      <c r="L1349">
        <v>0.0</v>
      </c>
      <c r="M1349"/>
      <c r="N1349"/>
      <c r="O1349">
        <v>70.17</v>
      </c>
      <c r="P1349">
        <v>0.0</v>
      </c>
      <c r="Q1349">
        <v>460.0</v>
      </c>
      <c r="R1349"/>
      <c r="S1349"/>
      <c r="T1349"/>
      <c r="U1349"/>
      <c r="V1349"/>
      <c r="W1349">
        <v>18</v>
      </c>
    </row>
    <row r="1350" spans="1:23">
      <c r="A1350"/>
      <c r="B1350" t="s">
        <v>95</v>
      </c>
      <c r="C1350" t="s">
        <v>95</v>
      </c>
      <c r="D1350" t="s">
        <v>37</v>
      </c>
      <c r="E1350" t="s">
        <v>38</v>
      </c>
      <c r="F1350" t="str">
        <f>"0001450"</f>
        <v>0001450</v>
      </c>
      <c r="G1350">
        <v>1</v>
      </c>
      <c r="H1350" t="str">
        <f>"00000000"</f>
        <v>00000000</v>
      </c>
      <c r="I1350" t="s">
        <v>39</v>
      </c>
      <c r="J1350"/>
      <c r="K1350">
        <v>389.83</v>
      </c>
      <c r="L1350">
        <v>0.0</v>
      </c>
      <c r="M1350"/>
      <c r="N1350"/>
      <c r="O1350">
        <v>70.17</v>
      </c>
      <c r="P1350">
        <v>0.0</v>
      </c>
      <c r="Q1350">
        <v>460.0</v>
      </c>
      <c r="R1350"/>
      <c r="S1350"/>
      <c r="T1350"/>
      <c r="U1350"/>
      <c r="V1350"/>
      <c r="W1350">
        <v>18</v>
      </c>
    </row>
    <row r="1351" spans="1:23">
      <c r="A1351"/>
      <c r="B1351" t="s">
        <v>95</v>
      </c>
      <c r="C1351" t="s">
        <v>95</v>
      </c>
      <c r="D1351" t="s">
        <v>37</v>
      </c>
      <c r="E1351" t="s">
        <v>38</v>
      </c>
      <c r="F1351" t="str">
        <f>"0001451"</f>
        <v>0001451</v>
      </c>
      <c r="G1351">
        <v>1</v>
      </c>
      <c r="H1351" t="str">
        <f>"00000000"</f>
        <v>00000000</v>
      </c>
      <c r="I1351" t="s">
        <v>39</v>
      </c>
      <c r="J1351"/>
      <c r="K1351">
        <v>423.73</v>
      </c>
      <c r="L1351">
        <v>0.0</v>
      </c>
      <c r="M1351"/>
      <c r="N1351"/>
      <c r="O1351">
        <v>76.27</v>
      </c>
      <c r="P1351">
        <v>0.0</v>
      </c>
      <c r="Q1351">
        <v>500.0</v>
      </c>
      <c r="R1351"/>
      <c r="S1351"/>
      <c r="T1351"/>
      <c r="U1351"/>
      <c r="V1351"/>
      <c r="W1351">
        <v>18</v>
      </c>
    </row>
    <row r="1352" spans="1:23">
      <c r="A1352"/>
      <c r="B1352" t="s">
        <v>95</v>
      </c>
      <c r="C1352" t="s">
        <v>95</v>
      </c>
      <c r="D1352" t="s">
        <v>37</v>
      </c>
      <c r="E1352" t="s">
        <v>38</v>
      </c>
      <c r="F1352" t="str">
        <f>"0001452"</f>
        <v>0001452</v>
      </c>
      <c r="G1352">
        <v>1</v>
      </c>
      <c r="H1352" t="str">
        <f>"00000000"</f>
        <v>00000000</v>
      </c>
      <c r="I1352" t="s">
        <v>39</v>
      </c>
      <c r="J1352"/>
      <c r="K1352">
        <v>423.73</v>
      </c>
      <c r="L1352">
        <v>0.0</v>
      </c>
      <c r="M1352"/>
      <c r="N1352"/>
      <c r="O1352">
        <v>76.27</v>
      </c>
      <c r="P1352">
        <v>0.0</v>
      </c>
      <c r="Q1352">
        <v>500.0</v>
      </c>
      <c r="R1352"/>
      <c r="S1352"/>
      <c r="T1352"/>
      <c r="U1352"/>
      <c r="V1352"/>
      <c r="W1352">
        <v>18</v>
      </c>
    </row>
    <row r="1353" spans="1:23">
      <c r="A1353"/>
      <c r="B1353" t="s">
        <v>95</v>
      </c>
      <c r="C1353" t="s">
        <v>95</v>
      </c>
      <c r="D1353" t="s">
        <v>37</v>
      </c>
      <c r="E1353" t="s">
        <v>38</v>
      </c>
      <c r="F1353" t="str">
        <f>"0001453"</f>
        <v>0001453</v>
      </c>
      <c r="G1353">
        <v>1</v>
      </c>
      <c r="H1353" t="str">
        <f>"00000000"</f>
        <v>00000000</v>
      </c>
      <c r="I1353" t="s">
        <v>39</v>
      </c>
      <c r="J1353"/>
      <c r="K1353">
        <v>406.78</v>
      </c>
      <c r="L1353">
        <v>0.0</v>
      </c>
      <c r="M1353"/>
      <c r="N1353"/>
      <c r="O1353">
        <v>73.22</v>
      </c>
      <c r="P1353">
        <v>0.0</v>
      </c>
      <c r="Q1353">
        <v>480.0</v>
      </c>
      <c r="R1353"/>
      <c r="S1353"/>
      <c r="T1353"/>
      <c r="U1353"/>
      <c r="V1353"/>
      <c r="W1353">
        <v>18</v>
      </c>
    </row>
    <row r="1354" spans="1:23">
      <c r="A1354"/>
      <c r="B1354" t="s">
        <v>95</v>
      </c>
      <c r="C1354" t="s">
        <v>95</v>
      </c>
      <c r="D1354" t="s">
        <v>37</v>
      </c>
      <c r="E1354" t="s">
        <v>38</v>
      </c>
      <c r="F1354" t="str">
        <f>"0001454"</f>
        <v>0001454</v>
      </c>
      <c r="G1354">
        <v>1</v>
      </c>
      <c r="H1354" t="str">
        <f>"00000000"</f>
        <v>00000000</v>
      </c>
      <c r="I1354" t="s">
        <v>39</v>
      </c>
      <c r="J1354"/>
      <c r="K1354">
        <v>330.51</v>
      </c>
      <c r="L1354">
        <v>0.0</v>
      </c>
      <c r="M1354"/>
      <c r="N1354"/>
      <c r="O1354">
        <v>59.49</v>
      </c>
      <c r="P1354">
        <v>0.0</v>
      </c>
      <c r="Q1354">
        <v>390.0</v>
      </c>
      <c r="R1354"/>
      <c r="S1354"/>
      <c r="T1354"/>
      <c r="U1354"/>
      <c r="V1354"/>
      <c r="W1354">
        <v>18</v>
      </c>
    </row>
    <row r="1355" spans="1:23">
      <c r="A1355"/>
      <c r="B1355" t="s">
        <v>95</v>
      </c>
      <c r="C1355" t="s">
        <v>95</v>
      </c>
      <c r="D1355" t="s">
        <v>37</v>
      </c>
      <c r="E1355" t="s">
        <v>38</v>
      </c>
      <c r="F1355" t="str">
        <f>"0001455"</f>
        <v>0001455</v>
      </c>
      <c r="G1355">
        <v>1</v>
      </c>
      <c r="H1355" t="str">
        <f>"00000000"</f>
        <v>00000000</v>
      </c>
      <c r="I1355" t="s">
        <v>39</v>
      </c>
      <c r="J1355"/>
      <c r="K1355">
        <v>355.93</v>
      </c>
      <c r="L1355">
        <v>0.0</v>
      </c>
      <c r="M1355"/>
      <c r="N1355"/>
      <c r="O1355">
        <v>64.07</v>
      </c>
      <c r="P1355">
        <v>0.0</v>
      </c>
      <c r="Q1355">
        <v>420.0</v>
      </c>
      <c r="R1355"/>
      <c r="S1355"/>
      <c r="T1355"/>
      <c r="U1355"/>
      <c r="V1355"/>
      <c r="W1355">
        <v>18</v>
      </c>
    </row>
    <row r="1356" spans="1:23">
      <c r="A1356"/>
      <c r="B1356" t="s">
        <v>95</v>
      </c>
      <c r="C1356" t="s">
        <v>95</v>
      </c>
      <c r="D1356" t="s">
        <v>37</v>
      </c>
      <c r="E1356" t="s">
        <v>38</v>
      </c>
      <c r="F1356" t="str">
        <f>"0001456"</f>
        <v>0001456</v>
      </c>
      <c r="G1356">
        <v>1</v>
      </c>
      <c r="H1356" t="str">
        <f>"00000000"</f>
        <v>00000000</v>
      </c>
      <c r="I1356" t="s">
        <v>39</v>
      </c>
      <c r="J1356"/>
      <c r="K1356">
        <v>423.73</v>
      </c>
      <c r="L1356">
        <v>0.0</v>
      </c>
      <c r="M1356"/>
      <c r="N1356"/>
      <c r="O1356">
        <v>76.27</v>
      </c>
      <c r="P1356">
        <v>0.0</v>
      </c>
      <c r="Q1356">
        <v>500.0</v>
      </c>
      <c r="R1356"/>
      <c r="S1356"/>
      <c r="T1356"/>
      <c r="U1356"/>
      <c r="V1356"/>
      <c r="W1356">
        <v>18</v>
      </c>
    </row>
    <row r="1357" spans="1:23">
      <c r="A1357"/>
      <c r="B1357" t="s">
        <v>95</v>
      </c>
      <c r="C1357" t="s">
        <v>95</v>
      </c>
      <c r="D1357" t="s">
        <v>37</v>
      </c>
      <c r="E1357" t="s">
        <v>38</v>
      </c>
      <c r="F1357" t="str">
        <f>"0001457"</f>
        <v>0001457</v>
      </c>
      <c r="G1357">
        <v>1</v>
      </c>
      <c r="H1357" t="str">
        <f>"00000000"</f>
        <v>00000000</v>
      </c>
      <c r="I1357" t="s">
        <v>39</v>
      </c>
      <c r="J1357"/>
      <c r="K1357">
        <v>423.73</v>
      </c>
      <c r="L1357">
        <v>0.0</v>
      </c>
      <c r="M1357"/>
      <c r="N1357"/>
      <c r="O1357">
        <v>76.27</v>
      </c>
      <c r="P1357">
        <v>0.0</v>
      </c>
      <c r="Q1357">
        <v>500.0</v>
      </c>
      <c r="R1357"/>
      <c r="S1357"/>
      <c r="T1357"/>
      <c r="U1357"/>
      <c r="V1357"/>
      <c r="W1357">
        <v>18</v>
      </c>
    </row>
    <row r="1358" spans="1:23">
      <c r="A1358"/>
      <c r="B1358" t="s">
        <v>95</v>
      </c>
      <c r="C1358" t="s">
        <v>95</v>
      </c>
      <c r="D1358" t="s">
        <v>37</v>
      </c>
      <c r="E1358" t="s">
        <v>38</v>
      </c>
      <c r="F1358" t="str">
        <f>"0001458"</f>
        <v>0001458</v>
      </c>
      <c r="G1358">
        <v>1</v>
      </c>
      <c r="H1358" t="str">
        <f>"00000000"</f>
        <v>00000000</v>
      </c>
      <c r="I1358" t="s">
        <v>39</v>
      </c>
      <c r="J1358"/>
      <c r="K1358">
        <v>355.93</v>
      </c>
      <c r="L1358">
        <v>0.0</v>
      </c>
      <c r="M1358"/>
      <c r="N1358"/>
      <c r="O1358">
        <v>64.07</v>
      </c>
      <c r="P1358">
        <v>0.0</v>
      </c>
      <c r="Q1358">
        <v>420.0</v>
      </c>
      <c r="R1358"/>
      <c r="S1358"/>
      <c r="T1358"/>
      <c r="U1358"/>
      <c r="V1358"/>
      <c r="W1358">
        <v>18</v>
      </c>
    </row>
    <row r="1359" spans="1:23">
      <c r="A1359"/>
      <c r="B1359" t="s">
        <v>95</v>
      </c>
      <c r="C1359" t="s">
        <v>95</v>
      </c>
      <c r="D1359" t="s">
        <v>37</v>
      </c>
      <c r="E1359" t="s">
        <v>38</v>
      </c>
      <c r="F1359" t="str">
        <f>"0001459"</f>
        <v>0001459</v>
      </c>
      <c r="G1359">
        <v>1</v>
      </c>
      <c r="H1359" t="str">
        <f>"00000000"</f>
        <v>00000000</v>
      </c>
      <c r="I1359" t="s">
        <v>39</v>
      </c>
      <c r="J1359"/>
      <c r="K1359">
        <v>355.93</v>
      </c>
      <c r="L1359">
        <v>0.0</v>
      </c>
      <c r="M1359"/>
      <c r="N1359"/>
      <c r="O1359">
        <v>64.07</v>
      </c>
      <c r="P1359">
        <v>0.0</v>
      </c>
      <c r="Q1359">
        <v>420.0</v>
      </c>
      <c r="R1359"/>
      <c r="S1359"/>
      <c r="T1359"/>
      <c r="U1359"/>
      <c r="V1359"/>
      <c r="W1359">
        <v>18</v>
      </c>
    </row>
    <row r="1360" spans="1:23">
      <c r="A1360"/>
      <c r="B1360" t="s">
        <v>95</v>
      </c>
      <c r="C1360" t="s">
        <v>95</v>
      </c>
      <c r="D1360" t="s">
        <v>37</v>
      </c>
      <c r="E1360" t="s">
        <v>38</v>
      </c>
      <c r="F1360" t="str">
        <f>"0001460"</f>
        <v>0001460</v>
      </c>
      <c r="G1360">
        <v>1</v>
      </c>
      <c r="H1360" t="str">
        <f>"00000000"</f>
        <v>00000000</v>
      </c>
      <c r="I1360" t="s">
        <v>39</v>
      </c>
      <c r="J1360"/>
      <c r="K1360">
        <v>372.88</v>
      </c>
      <c r="L1360">
        <v>0.0</v>
      </c>
      <c r="M1360"/>
      <c r="N1360"/>
      <c r="O1360">
        <v>67.12</v>
      </c>
      <c r="P1360">
        <v>0.0</v>
      </c>
      <c r="Q1360">
        <v>440.0</v>
      </c>
      <c r="R1360"/>
      <c r="S1360"/>
      <c r="T1360"/>
      <c r="U1360"/>
      <c r="V1360"/>
      <c r="W1360">
        <v>18</v>
      </c>
    </row>
    <row r="1361" spans="1:23">
      <c r="A1361"/>
      <c r="B1361" t="s">
        <v>95</v>
      </c>
      <c r="C1361" t="s">
        <v>95</v>
      </c>
      <c r="D1361" t="s">
        <v>37</v>
      </c>
      <c r="E1361" t="s">
        <v>38</v>
      </c>
      <c r="F1361" t="str">
        <f>"0001461"</f>
        <v>0001461</v>
      </c>
      <c r="G1361">
        <v>1</v>
      </c>
      <c r="H1361" t="str">
        <f>"00000000"</f>
        <v>00000000</v>
      </c>
      <c r="I1361" t="s">
        <v>39</v>
      </c>
      <c r="J1361"/>
      <c r="K1361">
        <v>372.88</v>
      </c>
      <c r="L1361">
        <v>0.0</v>
      </c>
      <c r="M1361"/>
      <c r="N1361"/>
      <c r="O1361">
        <v>67.12</v>
      </c>
      <c r="P1361">
        <v>0.0</v>
      </c>
      <c r="Q1361">
        <v>440.0</v>
      </c>
      <c r="R1361"/>
      <c r="S1361"/>
      <c r="T1361"/>
      <c r="U1361"/>
      <c r="V1361"/>
      <c r="W1361">
        <v>18</v>
      </c>
    </row>
    <row r="1362" spans="1:23">
      <c r="A1362"/>
      <c r="B1362" t="s">
        <v>95</v>
      </c>
      <c r="C1362" t="s">
        <v>95</v>
      </c>
      <c r="D1362" t="s">
        <v>37</v>
      </c>
      <c r="E1362" t="s">
        <v>38</v>
      </c>
      <c r="F1362" t="str">
        <f>"0001462"</f>
        <v>0001462</v>
      </c>
      <c r="G1362">
        <v>1</v>
      </c>
      <c r="H1362" t="str">
        <f>"00000000"</f>
        <v>00000000</v>
      </c>
      <c r="I1362" t="s">
        <v>39</v>
      </c>
      <c r="J1362"/>
      <c r="K1362">
        <v>372.88</v>
      </c>
      <c r="L1362">
        <v>0.0</v>
      </c>
      <c r="M1362"/>
      <c r="N1362"/>
      <c r="O1362">
        <v>67.12</v>
      </c>
      <c r="P1362">
        <v>0.0</v>
      </c>
      <c r="Q1362">
        <v>440.0</v>
      </c>
      <c r="R1362"/>
      <c r="S1362"/>
      <c r="T1362"/>
      <c r="U1362"/>
      <c r="V1362"/>
      <c r="W1362">
        <v>18</v>
      </c>
    </row>
    <row r="1363" spans="1:23">
      <c r="A1363"/>
      <c r="B1363" t="s">
        <v>95</v>
      </c>
      <c r="C1363" t="s">
        <v>95</v>
      </c>
      <c r="D1363" t="s">
        <v>37</v>
      </c>
      <c r="E1363" t="s">
        <v>38</v>
      </c>
      <c r="F1363" t="str">
        <f>"0001463"</f>
        <v>0001463</v>
      </c>
      <c r="G1363">
        <v>1</v>
      </c>
      <c r="H1363" t="str">
        <f>"00000000"</f>
        <v>00000000</v>
      </c>
      <c r="I1363" t="s">
        <v>39</v>
      </c>
      <c r="J1363"/>
      <c r="K1363">
        <v>305.08</v>
      </c>
      <c r="L1363">
        <v>0.0</v>
      </c>
      <c r="M1363"/>
      <c r="N1363"/>
      <c r="O1363">
        <v>54.92</v>
      </c>
      <c r="P1363">
        <v>0.0</v>
      </c>
      <c r="Q1363">
        <v>360.0</v>
      </c>
      <c r="R1363"/>
      <c r="S1363"/>
      <c r="T1363"/>
      <c r="U1363"/>
      <c r="V1363"/>
      <c r="W1363">
        <v>18</v>
      </c>
    </row>
    <row r="1364" spans="1:23">
      <c r="A1364"/>
      <c r="B1364" t="s">
        <v>95</v>
      </c>
      <c r="C1364" t="s">
        <v>95</v>
      </c>
      <c r="D1364" t="s">
        <v>37</v>
      </c>
      <c r="E1364" t="s">
        <v>38</v>
      </c>
      <c r="F1364" t="str">
        <f>"0001464"</f>
        <v>0001464</v>
      </c>
      <c r="G1364">
        <v>1</v>
      </c>
      <c r="H1364" t="str">
        <f>"00000000"</f>
        <v>00000000</v>
      </c>
      <c r="I1364" t="s">
        <v>39</v>
      </c>
      <c r="J1364"/>
      <c r="K1364">
        <v>406.78</v>
      </c>
      <c r="L1364">
        <v>0.0</v>
      </c>
      <c r="M1364"/>
      <c r="N1364"/>
      <c r="O1364">
        <v>73.22</v>
      </c>
      <c r="P1364">
        <v>0.0</v>
      </c>
      <c r="Q1364">
        <v>480.0</v>
      </c>
      <c r="R1364"/>
      <c r="S1364"/>
      <c r="T1364"/>
      <c r="U1364"/>
      <c r="V1364"/>
      <c r="W1364">
        <v>18</v>
      </c>
    </row>
    <row r="1365" spans="1:23">
      <c r="A1365"/>
      <c r="B1365" t="s">
        <v>95</v>
      </c>
      <c r="C1365" t="s">
        <v>95</v>
      </c>
      <c r="D1365" t="s">
        <v>37</v>
      </c>
      <c r="E1365" t="s">
        <v>38</v>
      </c>
      <c r="F1365" t="str">
        <f>"0001465"</f>
        <v>0001465</v>
      </c>
      <c r="G1365">
        <v>1</v>
      </c>
      <c r="H1365" t="str">
        <f>"00000000"</f>
        <v>00000000</v>
      </c>
      <c r="I1365" t="s">
        <v>39</v>
      </c>
      <c r="J1365"/>
      <c r="K1365">
        <v>406.78</v>
      </c>
      <c r="L1365">
        <v>0.0</v>
      </c>
      <c r="M1365"/>
      <c r="N1365"/>
      <c r="O1365">
        <v>73.22</v>
      </c>
      <c r="P1365">
        <v>0.0</v>
      </c>
      <c r="Q1365">
        <v>480.0</v>
      </c>
      <c r="R1365"/>
      <c r="S1365"/>
      <c r="T1365"/>
      <c r="U1365"/>
      <c r="V1365"/>
      <c r="W1365">
        <v>18</v>
      </c>
    </row>
    <row r="1366" spans="1:23">
      <c r="A1366"/>
      <c r="B1366" t="s">
        <v>95</v>
      </c>
      <c r="C1366" t="s">
        <v>95</v>
      </c>
      <c r="D1366" t="s">
        <v>37</v>
      </c>
      <c r="E1366" t="s">
        <v>38</v>
      </c>
      <c r="F1366" t="str">
        <f>"0001466"</f>
        <v>0001466</v>
      </c>
      <c r="G1366">
        <v>1</v>
      </c>
      <c r="H1366" t="str">
        <f>"00000000"</f>
        <v>00000000</v>
      </c>
      <c r="I1366" t="s">
        <v>39</v>
      </c>
      <c r="J1366"/>
      <c r="K1366">
        <v>415.25</v>
      </c>
      <c r="L1366">
        <v>0.0</v>
      </c>
      <c r="M1366"/>
      <c r="N1366"/>
      <c r="O1366">
        <v>74.75</v>
      </c>
      <c r="P1366">
        <v>0.0</v>
      </c>
      <c r="Q1366">
        <v>490.0</v>
      </c>
      <c r="R1366"/>
      <c r="S1366"/>
      <c r="T1366"/>
      <c r="U1366"/>
      <c r="V1366"/>
      <c r="W1366">
        <v>18</v>
      </c>
    </row>
    <row r="1367" spans="1:23">
      <c r="A1367"/>
      <c r="B1367" t="s">
        <v>95</v>
      </c>
      <c r="C1367" t="s">
        <v>95</v>
      </c>
      <c r="D1367" t="s">
        <v>37</v>
      </c>
      <c r="E1367" t="s">
        <v>38</v>
      </c>
      <c r="F1367" t="str">
        <f>"0001467"</f>
        <v>0001467</v>
      </c>
      <c r="G1367">
        <v>1</v>
      </c>
      <c r="H1367" t="str">
        <f>"00000000"</f>
        <v>00000000</v>
      </c>
      <c r="I1367" t="s">
        <v>39</v>
      </c>
      <c r="J1367"/>
      <c r="K1367">
        <v>406.78</v>
      </c>
      <c r="L1367">
        <v>0.0</v>
      </c>
      <c r="M1367"/>
      <c r="N1367"/>
      <c r="O1367">
        <v>73.22</v>
      </c>
      <c r="P1367">
        <v>0.0</v>
      </c>
      <c r="Q1367">
        <v>480.0</v>
      </c>
      <c r="R1367"/>
      <c r="S1367"/>
      <c r="T1367"/>
      <c r="U1367"/>
      <c r="V1367"/>
      <c r="W1367">
        <v>18</v>
      </c>
    </row>
    <row r="1368" spans="1:23">
      <c r="A1368"/>
      <c r="B1368" t="s">
        <v>95</v>
      </c>
      <c r="C1368" t="s">
        <v>95</v>
      </c>
      <c r="D1368" t="s">
        <v>37</v>
      </c>
      <c r="E1368" t="s">
        <v>38</v>
      </c>
      <c r="F1368" t="str">
        <f>"0001468"</f>
        <v>0001468</v>
      </c>
      <c r="G1368">
        <v>1</v>
      </c>
      <c r="H1368" t="str">
        <f>"00000000"</f>
        <v>00000000</v>
      </c>
      <c r="I1368" t="s">
        <v>39</v>
      </c>
      <c r="J1368"/>
      <c r="K1368">
        <v>385.59</v>
      </c>
      <c r="L1368">
        <v>0.0</v>
      </c>
      <c r="M1368"/>
      <c r="N1368"/>
      <c r="O1368">
        <v>69.41</v>
      </c>
      <c r="P1368">
        <v>0.0</v>
      </c>
      <c r="Q1368">
        <v>455.0</v>
      </c>
      <c r="R1368"/>
      <c r="S1368"/>
      <c r="T1368"/>
      <c r="U1368"/>
      <c r="V1368"/>
      <c r="W1368">
        <v>18</v>
      </c>
    </row>
    <row r="1369" spans="1:23">
      <c r="A1369"/>
      <c r="B1369" t="s">
        <v>95</v>
      </c>
      <c r="C1369" t="s">
        <v>95</v>
      </c>
      <c r="D1369" t="s">
        <v>37</v>
      </c>
      <c r="E1369" t="s">
        <v>38</v>
      </c>
      <c r="F1369" t="str">
        <f>"0001469"</f>
        <v>0001469</v>
      </c>
      <c r="G1369">
        <v>1</v>
      </c>
      <c r="H1369" t="str">
        <f>"00000000"</f>
        <v>00000000</v>
      </c>
      <c r="I1369" t="s">
        <v>39</v>
      </c>
      <c r="J1369"/>
      <c r="K1369">
        <v>355.93</v>
      </c>
      <c r="L1369">
        <v>0.0</v>
      </c>
      <c r="M1369"/>
      <c r="N1369"/>
      <c r="O1369">
        <v>64.07</v>
      </c>
      <c r="P1369">
        <v>0.0</v>
      </c>
      <c r="Q1369">
        <v>420.0</v>
      </c>
      <c r="R1369"/>
      <c r="S1369"/>
      <c r="T1369"/>
      <c r="U1369"/>
      <c r="V1369"/>
      <c r="W1369">
        <v>18</v>
      </c>
    </row>
    <row r="1370" spans="1:23">
      <c r="A1370"/>
      <c r="B1370" t="s">
        <v>95</v>
      </c>
      <c r="C1370" t="s">
        <v>95</v>
      </c>
      <c r="D1370" t="s">
        <v>37</v>
      </c>
      <c r="E1370" t="s">
        <v>38</v>
      </c>
      <c r="F1370" t="str">
        <f>"0001470"</f>
        <v>0001470</v>
      </c>
      <c r="G1370">
        <v>1</v>
      </c>
      <c r="H1370" t="str">
        <f>"00000000"</f>
        <v>00000000</v>
      </c>
      <c r="I1370" t="s">
        <v>39</v>
      </c>
      <c r="J1370"/>
      <c r="K1370">
        <v>423.73</v>
      </c>
      <c r="L1370">
        <v>0.0</v>
      </c>
      <c r="M1370"/>
      <c r="N1370"/>
      <c r="O1370">
        <v>76.27</v>
      </c>
      <c r="P1370">
        <v>0.0</v>
      </c>
      <c r="Q1370">
        <v>500.0</v>
      </c>
      <c r="R1370"/>
      <c r="S1370"/>
      <c r="T1370"/>
      <c r="U1370"/>
      <c r="V1370"/>
      <c r="W1370">
        <v>18</v>
      </c>
    </row>
    <row r="1371" spans="1:23">
      <c r="A1371"/>
      <c r="B1371" t="s">
        <v>95</v>
      </c>
      <c r="C1371" t="s">
        <v>95</v>
      </c>
      <c r="D1371" t="s">
        <v>37</v>
      </c>
      <c r="E1371" t="s">
        <v>38</v>
      </c>
      <c r="F1371" t="str">
        <f>"0001471"</f>
        <v>0001471</v>
      </c>
      <c r="G1371">
        <v>1</v>
      </c>
      <c r="H1371" t="str">
        <f>"00000000"</f>
        <v>00000000</v>
      </c>
      <c r="I1371" t="s">
        <v>39</v>
      </c>
      <c r="J1371"/>
      <c r="K1371">
        <v>423.73</v>
      </c>
      <c r="L1371">
        <v>0.0</v>
      </c>
      <c r="M1371"/>
      <c r="N1371"/>
      <c r="O1371">
        <v>76.27</v>
      </c>
      <c r="P1371">
        <v>0.0</v>
      </c>
      <c r="Q1371">
        <v>500.0</v>
      </c>
      <c r="R1371"/>
      <c r="S1371"/>
      <c r="T1371"/>
      <c r="U1371"/>
      <c r="V1371"/>
      <c r="W1371">
        <v>18</v>
      </c>
    </row>
    <row r="1372" spans="1:23">
      <c r="A1372"/>
      <c r="B1372" t="s">
        <v>95</v>
      </c>
      <c r="C1372" t="s">
        <v>95</v>
      </c>
      <c r="D1372" t="s">
        <v>37</v>
      </c>
      <c r="E1372" t="s">
        <v>38</v>
      </c>
      <c r="F1372" t="str">
        <f>"0001472"</f>
        <v>0001472</v>
      </c>
      <c r="G1372">
        <v>1</v>
      </c>
      <c r="H1372" t="str">
        <f>"00000000"</f>
        <v>00000000</v>
      </c>
      <c r="I1372" t="s">
        <v>39</v>
      </c>
      <c r="J1372"/>
      <c r="K1372">
        <v>423.73</v>
      </c>
      <c r="L1372">
        <v>0.0</v>
      </c>
      <c r="M1372"/>
      <c r="N1372"/>
      <c r="O1372">
        <v>76.27</v>
      </c>
      <c r="P1372">
        <v>0.0</v>
      </c>
      <c r="Q1372">
        <v>500.0</v>
      </c>
      <c r="R1372"/>
      <c r="S1372"/>
      <c r="T1372"/>
      <c r="U1372"/>
      <c r="V1372"/>
      <c r="W1372">
        <v>18</v>
      </c>
    </row>
    <row r="1373" spans="1:23">
      <c r="A1373"/>
      <c r="B1373" t="s">
        <v>95</v>
      </c>
      <c r="C1373" t="s">
        <v>95</v>
      </c>
      <c r="D1373" t="s">
        <v>37</v>
      </c>
      <c r="E1373" t="s">
        <v>38</v>
      </c>
      <c r="F1373" t="str">
        <f>"0001473"</f>
        <v>0001473</v>
      </c>
      <c r="G1373">
        <v>1</v>
      </c>
      <c r="H1373" t="str">
        <f>"00000000"</f>
        <v>00000000</v>
      </c>
      <c r="I1373" t="s">
        <v>39</v>
      </c>
      <c r="J1373"/>
      <c r="K1373">
        <v>423.73</v>
      </c>
      <c r="L1373">
        <v>0.0</v>
      </c>
      <c r="M1373"/>
      <c r="N1373"/>
      <c r="O1373">
        <v>76.27</v>
      </c>
      <c r="P1373">
        <v>0.0</v>
      </c>
      <c r="Q1373">
        <v>500.0</v>
      </c>
      <c r="R1373"/>
      <c r="S1373"/>
      <c r="T1373"/>
      <c r="U1373"/>
      <c r="V1373"/>
      <c r="W1373">
        <v>18</v>
      </c>
    </row>
    <row r="1374" spans="1:23">
      <c r="A1374"/>
      <c r="B1374" t="s">
        <v>95</v>
      </c>
      <c r="C1374" t="s">
        <v>95</v>
      </c>
      <c r="D1374" t="s">
        <v>37</v>
      </c>
      <c r="E1374" t="s">
        <v>38</v>
      </c>
      <c r="F1374" t="str">
        <f>"0001474"</f>
        <v>0001474</v>
      </c>
      <c r="G1374">
        <v>1</v>
      </c>
      <c r="H1374" t="str">
        <f>"00000000"</f>
        <v>00000000</v>
      </c>
      <c r="I1374" t="s">
        <v>39</v>
      </c>
      <c r="J1374"/>
      <c r="K1374">
        <v>254.24</v>
      </c>
      <c r="L1374">
        <v>0.0</v>
      </c>
      <c r="M1374"/>
      <c r="N1374"/>
      <c r="O1374">
        <v>45.76</v>
      </c>
      <c r="P1374">
        <v>0.0</v>
      </c>
      <c r="Q1374">
        <v>300.0</v>
      </c>
      <c r="R1374"/>
      <c r="S1374"/>
      <c r="T1374"/>
      <c r="U1374"/>
      <c r="V1374"/>
      <c r="W1374">
        <v>18</v>
      </c>
    </row>
    <row r="1375" spans="1:23">
      <c r="A1375"/>
      <c r="B1375" t="s">
        <v>95</v>
      </c>
      <c r="C1375" t="s">
        <v>95</v>
      </c>
      <c r="D1375" t="s">
        <v>37</v>
      </c>
      <c r="E1375" t="s">
        <v>38</v>
      </c>
      <c r="F1375" t="str">
        <f>"0001475"</f>
        <v>0001475</v>
      </c>
      <c r="G1375">
        <v>1</v>
      </c>
      <c r="H1375" t="str">
        <f>"00000000"</f>
        <v>00000000</v>
      </c>
      <c r="I1375" t="s">
        <v>39</v>
      </c>
      <c r="J1375"/>
      <c r="K1375">
        <v>338.98</v>
      </c>
      <c r="L1375">
        <v>0.0</v>
      </c>
      <c r="M1375"/>
      <c r="N1375"/>
      <c r="O1375">
        <v>61.02</v>
      </c>
      <c r="P1375">
        <v>0.0</v>
      </c>
      <c r="Q1375">
        <v>400.0</v>
      </c>
      <c r="R1375"/>
      <c r="S1375"/>
      <c r="T1375"/>
      <c r="U1375"/>
      <c r="V1375"/>
      <c r="W1375">
        <v>18</v>
      </c>
    </row>
    <row r="1376" spans="1:23">
      <c r="A1376"/>
      <c r="B1376" t="s">
        <v>95</v>
      </c>
      <c r="C1376" t="s">
        <v>95</v>
      </c>
      <c r="D1376" t="s">
        <v>37</v>
      </c>
      <c r="E1376" t="s">
        <v>38</v>
      </c>
      <c r="F1376" t="str">
        <f>"0001476"</f>
        <v>0001476</v>
      </c>
      <c r="G1376">
        <v>1</v>
      </c>
      <c r="H1376" t="str">
        <f>"00000000"</f>
        <v>00000000</v>
      </c>
      <c r="I1376" t="s">
        <v>39</v>
      </c>
      <c r="J1376"/>
      <c r="K1376">
        <v>254.24</v>
      </c>
      <c r="L1376">
        <v>0.0</v>
      </c>
      <c r="M1376"/>
      <c r="N1376"/>
      <c r="O1376">
        <v>45.76</v>
      </c>
      <c r="P1376">
        <v>0.0</v>
      </c>
      <c r="Q1376">
        <v>300.0</v>
      </c>
      <c r="R1376"/>
      <c r="S1376"/>
      <c r="T1376"/>
      <c r="U1376"/>
      <c r="V1376"/>
      <c r="W1376">
        <v>18</v>
      </c>
    </row>
    <row r="1377" spans="1:23">
      <c r="A1377"/>
      <c r="B1377" t="s">
        <v>95</v>
      </c>
      <c r="C1377" t="s">
        <v>95</v>
      </c>
      <c r="D1377" t="s">
        <v>37</v>
      </c>
      <c r="E1377" t="s">
        <v>38</v>
      </c>
      <c r="F1377" t="str">
        <f>"0001477"</f>
        <v>0001477</v>
      </c>
      <c r="G1377">
        <v>1</v>
      </c>
      <c r="H1377" t="str">
        <f>"00000000"</f>
        <v>00000000</v>
      </c>
      <c r="I1377" t="s">
        <v>39</v>
      </c>
      <c r="J1377"/>
      <c r="K1377">
        <v>338.98</v>
      </c>
      <c r="L1377">
        <v>0.0</v>
      </c>
      <c r="M1377"/>
      <c r="N1377"/>
      <c r="O1377">
        <v>61.02</v>
      </c>
      <c r="P1377">
        <v>0.0</v>
      </c>
      <c r="Q1377">
        <v>400.0</v>
      </c>
      <c r="R1377"/>
      <c r="S1377"/>
      <c r="T1377"/>
      <c r="U1377"/>
      <c r="V1377"/>
      <c r="W1377">
        <v>18</v>
      </c>
    </row>
    <row r="1378" spans="1:23">
      <c r="A1378"/>
      <c r="B1378" t="s">
        <v>95</v>
      </c>
      <c r="C1378" t="s">
        <v>95</v>
      </c>
      <c r="D1378" t="s">
        <v>37</v>
      </c>
      <c r="E1378" t="s">
        <v>38</v>
      </c>
      <c r="F1378" t="str">
        <f>"0001478"</f>
        <v>0001478</v>
      </c>
      <c r="G1378">
        <v>1</v>
      </c>
      <c r="H1378" t="str">
        <f>"00000000"</f>
        <v>00000000</v>
      </c>
      <c r="I1378" t="s">
        <v>39</v>
      </c>
      <c r="J1378"/>
      <c r="K1378">
        <v>355.93</v>
      </c>
      <c r="L1378">
        <v>0.0</v>
      </c>
      <c r="M1378"/>
      <c r="N1378"/>
      <c r="O1378">
        <v>64.07</v>
      </c>
      <c r="P1378">
        <v>0.0</v>
      </c>
      <c r="Q1378">
        <v>420.0</v>
      </c>
      <c r="R1378"/>
      <c r="S1378"/>
      <c r="T1378"/>
      <c r="U1378"/>
      <c r="V1378"/>
      <c r="W1378">
        <v>18</v>
      </c>
    </row>
    <row r="1379" spans="1:23">
      <c r="A1379"/>
      <c r="B1379" t="s">
        <v>95</v>
      </c>
      <c r="C1379" t="s">
        <v>95</v>
      </c>
      <c r="D1379" t="s">
        <v>37</v>
      </c>
      <c r="E1379" t="s">
        <v>38</v>
      </c>
      <c r="F1379" t="str">
        <f>"0001479"</f>
        <v>0001479</v>
      </c>
      <c r="G1379">
        <v>1</v>
      </c>
      <c r="H1379" t="str">
        <f>"00000000"</f>
        <v>00000000</v>
      </c>
      <c r="I1379" t="s">
        <v>39</v>
      </c>
      <c r="J1379"/>
      <c r="K1379">
        <v>381.36</v>
      </c>
      <c r="L1379">
        <v>0.0</v>
      </c>
      <c r="M1379"/>
      <c r="N1379"/>
      <c r="O1379">
        <v>68.64</v>
      </c>
      <c r="P1379">
        <v>0.0</v>
      </c>
      <c r="Q1379">
        <v>450.0</v>
      </c>
      <c r="R1379"/>
      <c r="S1379"/>
      <c r="T1379"/>
      <c r="U1379"/>
      <c r="V1379"/>
      <c r="W1379">
        <v>18</v>
      </c>
    </row>
    <row r="1380" spans="1:23">
      <c r="A1380"/>
      <c r="B1380" t="s">
        <v>95</v>
      </c>
      <c r="C1380" t="s">
        <v>95</v>
      </c>
      <c r="D1380" t="s">
        <v>37</v>
      </c>
      <c r="E1380" t="s">
        <v>38</v>
      </c>
      <c r="F1380" t="str">
        <f>"0001480"</f>
        <v>0001480</v>
      </c>
      <c r="G1380">
        <v>1</v>
      </c>
      <c r="H1380" t="str">
        <f>"00000000"</f>
        <v>00000000</v>
      </c>
      <c r="I1380" t="s">
        <v>39</v>
      </c>
      <c r="J1380"/>
      <c r="K1380">
        <v>406.78</v>
      </c>
      <c r="L1380">
        <v>0.0</v>
      </c>
      <c r="M1380"/>
      <c r="N1380"/>
      <c r="O1380">
        <v>73.22</v>
      </c>
      <c r="P1380">
        <v>0.0</v>
      </c>
      <c r="Q1380">
        <v>480.0</v>
      </c>
      <c r="R1380"/>
      <c r="S1380"/>
      <c r="T1380"/>
      <c r="U1380"/>
      <c r="V1380"/>
      <c r="W1380">
        <v>18</v>
      </c>
    </row>
    <row r="1381" spans="1:23">
      <c r="A1381"/>
      <c r="B1381" t="s">
        <v>95</v>
      </c>
      <c r="C1381" t="s">
        <v>95</v>
      </c>
      <c r="D1381" t="s">
        <v>37</v>
      </c>
      <c r="E1381" t="s">
        <v>38</v>
      </c>
      <c r="F1381" t="str">
        <f>"0001481"</f>
        <v>0001481</v>
      </c>
      <c r="G1381">
        <v>1</v>
      </c>
      <c r="H1381" t="str">
        <f>"00000000"</f>
        <v>00000000</v>
      </c>
      <c r="I1381" t="s">
        <v>39</v>
      </c>
      <c r="J1381"/>
      <c r="K1381">
        <v>406.78</v>
      </c>
      <c r="L1381">
        <v>0.0</v>
      </c>
      <c r="M1381"/>
      <c r="N1381"/>
      <c r="O1381">
        <v>73.22</v>
      </c>
      <c r="P1381">
        <v>0.0</v>
      </c>
      <c r="Q1381">
        <v>480.0</v>
      </c>
      <c r="R1381"/>
      <c r="S1381"/>
      <c r="T1381"/>
      <c r="U1381"/>
      <c r="V1381"/>
      <c r="W1381">
        <v>18</v>
      </c>
    </row>
    <row r="1382" spans="1:23">
      <c r="A1382"/>
      <c r="B1382" t="s">
        <v>95</v>
      </c>
      <c r="C1382" t="s">
        <v>95</v>
      </c>
      <c r="D1382" t="s">
        <v>37</v>
      </c>
      <c r="E1382" t="s">
        <v>38</v>
      </c>
      <c r="F1382" t="str">
        <f>"0001482"</f>
        <v>0001482</v>
      </c>
      <c r="G1382">
        <v>1</v>
      </c>
      <c r="H1382" t="str">
        <f>"00000000"</f>
        <v>00000000</v>
      </c>
      <c r="I1382" t="s">
        <v>39</v>
      </c>
      <c r="J1382"/>
      <c r="K1382">
        <v>372.88</v>
      </c>
      <c r="L1382">
        <v>0.0</v>
      </c>
      <c r="M1382"/>
      <c r="N1382"/>
      <c r="O1382">
        <v>67.12</v>
      </c>
      <c r="P1382">
        <v>0.0</v>
      </c>
      <c r="Q1382">
        <v>440.0</v>
      </c>
      <c r="R1382"/>
      <c r="S1382"/>
      <c r="T1382"/>
      <c r="U1382"/>
      <c r="V1382"/>
      <c r="W1382">
        <v>18</v>
      </c>
    </row>
    <row r="1383" spans="1:23">
      <c r="A1383"/>
      <c r="B1383" t="s">
        <v>95</v>
      </c>
      <c r="C1383" t="s">
        <v>95</v>
      </c>
      <c r="D1383" t="s">
        <v>37</v>
      </c>
      <c r="E1383" t="s">
        <v>38</v>
      </c>
      <c r="F1383" t="str">
        <f>"0001483"</f>
        <v>0001483</v>
      </c>
      <c r="G1383">
        <v>1</v>
      </c>
      <c r="H1383" t="str">
        <f>"00000000"</f>
        <v>00000000</v>
      </c>
      <c r="I1383" t="s">
        <v>39</v>
      </c>
      <c r="J1383"/>
      <c r="K1383">
        <v>423.73</v>
      </c>
      <c r="L1383">
        <v>0.0</v>
      </c>
      <c r="M1383"/>
      <c r="N1383"/>
      <c r="O1383">
        <v>76.27</v>
      </c>
      <c r="P1383">
        <v>0.0</v>
      </c>
      <c r="Q1383">
        <v>500.0</v>
      </c>
      <c r="R1383"/>
      <c r="S1383"/>
      <c r="T1383"/>
      <c r="U1383"/>
      <c r="V1383"/>
      <c r="W1383">
        <v>18</v>
      </c>
    </row>
    <row r="1384" spans="1:23">
      <c r="A1384"/>
      <c r="B1384" t="s">
        <v>95</v>
      </c>
      <c r="C1384" t="s">
        <v>95</v>
      </c>
      <c r="D1384" t="s">
        <v>37</v>
      </c>
      <c r="E1384" t="s">
        <v>38</v>
      </c>
      <c r="F1384" t="str">
        <f>"0001484"</f>
        <v>0001484</v>
      </c>
      <c r="G1384">
        <v>1</v>
      </c>
      <c r="H1384" t="str">
        <f>"00000000"</f>
        <v>00000000</v>
      </c>
      <c r="I1384" t="s">
        <v>39</v>
      </c>
      <c r="J1384"/>
      <c r="K1384">
        <v>372.88</v>
      </c>
      <c r="L1384">
        <v>0.0</v>
      </c>
      <c r="M1384"/>
      <c r="N1384"/>
      <c r="O1384">
        <v>67.12</v>
      </c>
      <c r="P1384">
        <v>0.0</v>
      </c>
      <c r="Q1384">
        <v>440.0</v>
      </c>
      <c r="R1384"/>
      <c r="S1384"/>
      <c r="T1384"/>
      <c r="U1384"/>
      <c r="V1384"/>
      <c r="W1384">
        <v>18</v>
      </c>
    </row>
    <row r="1385" spans="1:23">
      <c r="A1385"/>
      <c r="B1385" t="s">
        <v>95</v>
      </c>
      <c r="C1385" t="s">
        <v>95</v>
      </c>
      <c r="D1385" t="s">
        <v>37</v>
      </c>
      <c r="E1385" t="s">
        <v>38</v>
      </c>
      <c r="F1385" t="str">
        <f>"0001485"</f>
        <v>0001485</v>
      </c>
      <c r="G1385">
        <v>1</v>
      </c>
      <c r="H1385" t="str">
        <f>"00000000"</f>
        <v>00000000</v>
      </c>
      <c r="I1385" t="s">
        <v>39</v>
      </c>
      <c r="J1385"/>
      <c r="K1385">
        <v>389.83</v>
      </c>
      <c r="L1385">
        <v>0.0</v>
      </c>
      <c r="M1385"/>
      <c r="N1385"/>
      <c r="O1385">
        <v>70.17</v>
      </c>
      <c r="P1385">
        <v>0.0</v>
      </c>
      <c r="Q1385">
        <v>460.0</v>
      </c>
      <c r="R1385"/>
      <c r="S1385"/>
      <c r="T1385"/>
      <c r="U1385"/>
      <c r="V1385"/>
      <c r="W1385">
        <v>18</v>
      </c>
    </row>
    <row r="1386" spans="1:23">
      <c r="A1386"/>
      <c r="B1386" t="s">
        <v>95</v>
      </c>
      <c r="C1386" t="s">
        <v>95</v>
      </c>
      <c r="D1386" t="s">
        <v>37</v>
      </c>
      <c r="E1386" t="s">
        <v>38</v>
      </c>
      <c r="F1386" t="str">
        <f>"0001486"</f>
        <v>0001486</v>
      </c>
      <c r="G1386">
        <v>1</v>
      </c>
      <c r="H1386" t="str">
        <f>"00000000"</f>
        <v>00000000</v>
      </c>
      <c r="I1386" t="s">
        <v>39</v>
      </c>
      <c r="J1386"/>
      <c r="K1386">
        <v>372.88</v>
      </c>
      <c r="L1386">
        <v>0.0</v>
      </c>
      <c r="M1386"/>
      <c r="N1386"/>
      <c r="O1386">
        <v>67.12</v>
      </c>
      <c r="P1386">
        <v>0.0</v>
      </c>
      <c r="Q1386">
        <v>440.0</v>
      </c>
      <c r="R1386"/>
      <c r="S1386"/>
      <c r="T1386"/>
      <c r="U1386"/>
      <c r="V1386"/>
      <c r="W1386">
        <v>18</v>
      </c>
    </row>
    <row r="1387" spans="1:23">
      <c r="A1387"/>
      <c r="B1387" t="s">
        <v>95</v>
      </c>
      <c r="C1387" t="s">
        <v>95</v>
      </c>
      <c r="D1387" t="s">
        <v>37</v>
      </c>
      <c r="E1387" t="s">
        <v>38</v>
      </c>
      <c r="F1387" t="str">
        <f>"0001487"</f>
        <v>0001487</v>
      </c>
      <c r="G1387">
        <v>1</v>
      </c>
      <c r="H1387" t="str">
        <f>"00000000"</f>
        <v>00000000</v>
      </c>
      <c r="I1387" t="s">
        <v>39</v>
      </c>
      <c r="J1387"/>
      <c r="K1387">
        <v>355.93</v>
      </c>
      <c r="L1387">
        <v>0.0</v>
      </c>
      <c r="M1387"/>
      <c r="N1387"/>
      <c r="O1387">
        <v>64.07</v>
      </c>
      <c r="P1387">
        <v>0.0</v>
      </c>
      <c r="Q1387">
        <v>420.0</v>
      </c>
      <c r="R1387"/>
      <c r="S1387"/>
      <c r="T1387"/>
      <c r="U1387"/>
      <c r="V1387"/>
      <c r="W1387">
        <v>18</v>
      </c>
    </row>
    <row r="1388" spans="1:23">
      <c r="A1388"/>
      <c r="B1388" t="s">
        <v>95</v>
      </c>
      <c r="C1388" t="s">
        <v>95</v>
      </c>
      <c r="D1388" t="s">
        <v>37</v>
      </c>
      <c r="E1388" t="s">
        <v>38</v>
      </c>
      <c r="F1388" t="str">
        <f>"0001488"</f>
        <v>0001488</v>
      </c>
      <c r="G1388">
        <v>1</v>
      </c>
      <c r="H1388" t="str">
        <f>"00000000"</f>
        <v>00000000</v>
      </c>
      <c r="I1388" t="s">
        <v>39</v>
      </c>
      <c r="J1388"/>
      <c r="K1388">
        <v>423.73</v>
      </c>
      <c r="L1388">
        <v>0.0</v>
      </c>
      <c r="M1388"/>
      <c r="N1388"/>
      <c r="O1388">
        <v>76.27</v>
      </c>
      <c r="P1388">
        <v>0.0</v>
      </c>
      <c r="Q1388">
        <v>500.0</v>
      </c>
      <c r="R1388"/>
      <c r="S1388"/>
      <c r="T1388"/>
      <c r="U1388"/>
      <c r="V1388"/>
      <c r="W1388">
        <v>18</v>
      </c>
    </row>
    <row r="1389" spans="1:23">
      <c r="A1389"/>
      <c r="B1389" t="s">
        <v>95</v>
      </c>
      <c r="C1389" t="s">
        <v>95</v>
      </c>
      <c r="D1389" t="s">
        <v>37</v>
      </c>
      <c r="E1389" t="s">
        <v>38</v>
      </c>
      <c r="F1389" t="str">
        <f>"0001489"</f>
        <v>0001489</v>
      </c>
      <c r="G1389">
        <v>1</v>
      </c>
      <c r="H1389" t="str">
        <f>"00000000"</f>
        <v>00000000</v>
      </c>
      <c r="I1389" t="s">
        <v>39</v>
      </c>
      <c r="J1389"/>
      <c r="K1389">
        <v>381.36</v>
      </c>
      <c r="L1389">
        <v>0.0</v>
      </c>
      <c r="M1389"/>
      <c r="N1389"/>
      <c r="O1389">
        <v>68.64</v>
      </c>
      <c r="P1389">
        <v>0.0</v>
      </c>
      <c r="Q1389">
        <v>450.0</v>
      </c>
      <c r="R1389"/>
      <c r="S1389"/>
      <c r="T1389"/>
      <c r="U1389"/>
      <c r="V1389"/>
      <c r="W1389">
        <v>18</v>
      </c>
    </row>
    <row r="1390" spans="1:23">
      <c r="A1390"/>
      <c r="B1390" t="s">
        <v>95</v>
      </c>
      <c r="C1390" t="s">
        <v>95</v>
      </c>
      <c r="D1390" t="s">
        <v>37</v>
      </c>
      <c r="E1390" t="s">
        <v>38</v>
      </c>
      <c r="F1390" t="str">
        <f>"0001490"</f>
        <v>0001490</v>
      </c>
      <c r="G1390">
        <v>1</v>
      </c>
      <c r="H1390" t="str">
        <f>"00000000"</f>
        <v>00000000</v>
      </c>
      <c r="I1390" t="s">
        <v>39</v>
      </c>
      <c r="J1390"/>
      <c r="K1390">
        <v>381.36</v>
      </c>
      <c r="L1390">
        <v>0.0</v>
      </c>
      <c r="M1390"/>
      <c r="N1390"/>
      <c r="O1390">
        <v>68.64</v>
      </c>
      <c r="P1390">
        <v>0.0</v>
      </c>
      <c r="Q1390">
        <v>450.0</v>
      </c>
      <c r="R1390"/>
      <c r="S1390"/>
      <c r="T1390"/>
      <c r="U1390"/>
      <c r="V1390"/>
      <c r="W1390">
        <v>18</v>
      </c>
    </row>
    <row r="1391" spans="1:23">
      <c r="A1391"/>
      <c r="B1391" t="s">
        <v>95</v>
      </c>
      <c r="C1391" t="s">
        <v>95</v>
      </c>
      <c r="D1391" t="s">
        <v>37</v>
      </c>
      <c r="E1391" t="s">
        <v>38</v>
      </c>
      <c r="F1391" t="str">
        <f>"0001491"</f>
        <v>0001491</v>
      </c>
      <c r="G1391">
        <v>1</v>
      </c>
      <c r="H1391" t="str">
        <f>"00000000"</f>
        <v>00000000</v>
      </c>
      <c r="I1391" t="s">
        <v>39</v>
      </c>
      <c r="J1391"/>
      <c r="K1391">
        <v>330.51</v>
      </c>
      <c r="L1391">
        <v>0.0</v>
      </c>
      <c r="M1391"/>
      <c r="N1391"/>
      <c r="O1391">
        <v>59.49</v>
      </c>
      <c r="P1391">
        <v>0.0</v>
      </c>
      <c r="Q1391">
        <v>390.0</v>
      </c>
      <c r="R1391"/>
      <c r="S1391"/>
      <c r="T1391"/>
      <c r="U1391"/>
      <c r="V1391"/>
      <c r="W1391">
        <v>18</v>
      </c>
    </row>
    <row r="1392" spans="1:23">
      <c r="A1392"/>
      <c r="B1392" t="s">
        <v>95</v>
      </c>
      <c r="C1392" t="s">
        <v>95</v>
      </c>
      <c r="D1392" t="s">
        <v>37</v>
      </c>
      <c r="E1392" t="s">
        <v>38</v>
      </c>
      <c r="F1392" t="str">
        <f>"0001492"</f>
        <v>0001492</v>
      </c>
      <c r="G1392">
        <v>1</v>
      </c>
      <c r="H1392" t="str">
        <f>"00000000"</f>
        <v>00000000</v>
      </c>
      <c r="I1392" t="s">
        <v>39</v>
      </c>
      <c r="J1392"/>
      <c r="K1392">
        <v>381.36</v>
      </c>
      <c r="L1392">
        <v>0.0</v>
      </c>
      <c r="M1392"/>
      <c r="N1392"/>
      <c r="O1392">
        <v>68.64</v>
      </c>
      <c r="P1392">
        <v>0.0</v>
      </c>
      <c r="Q1392">
        <v>450.0</v>
      </c>
      <c r="R1392"/>
      <c r="S1392"/>
      <c r="T1392"/>
      <c r="U1392"/>
      <c r="V1392"/>
      <c r="W1392">
        <v>18</v>
      </c>
    </row>
    <row r="1393" spans="1:23">
      <c r="A1393"/>
      <c r="B1393" t="s">
        <v>95</v>
      </c>
      <c r="C1393" t="s">
        <v>95</v>
      </c>
      <c r="D1393" t="s">
        <v>37</v>
      </c>
      <c r="E1393" t="s">
        <v>38</v>
      </c>
      <c r="F1393" t="str">
        <f>"0001493"</f>
        <v>0001493</v>
      </c>
      <c r="G1393">
        <v>1</v>
      </c>
      <c r="H1393" t="str">
        <f>"00000000"</f>
        <v>00000000</v>
      </c>
      <c r="I1393" t="s">
        <v>39</v>
      </c>
      <c r="J1393"/>
      <c r="K1393">
        <v>406.78</v>
      </c>
      <c r="L1393">
        <v>0.0</v>
      </c>
      <c r="M1393"/>
      <c r="N1393"/>
      <c r="O1393">
        <v>73.22</v>
      </c>
      <c r="P1393">
        <v>0.0</v>
      </c>
      <c r="Q1393">
        <v>480.0</v>
      </c>
      <c r="R1393"/>
      <c r="S1393"/>
      <c r="T1393"/>
      <c r="U1393"/>
      <c r="V1393"/>
      <c r="W1393">
        <v>18</v>
      </c>
    </row>
    <row r="1394" spans="1:23">
      <c r="A1394"/>
      <c r="B1394" t="s">
        <v>95</v>
      </c>
      <c r="C1394" t="s">
        <v>95</v>
      </c>
      <c r="D1394" t="s">
        <v>37</v>
      </c>
      <c r="E1394" t="s">
        <v>38</v>
      </c>
      <c r="F1394" t="str">
        <f>"0001494"</f>
        <v>0001494</v>
      </c>
      <c r="G1394">
        <v>1</v>
      </c>
      <c r="H1394" t="str">
        <f>"00000000"</f>
        <v>00000000</v>
      </c>
      <c r="I1394" t="s">
        <v>39</v>
      </c>
      <c r="J1394"/>
      <c r="K1394">
        <v>423.73</v>
      </c>
      <c r="L1394">
        <v>0.0</v>
      </c>
      <c r="M1394"/>
      <c r="N1394"/>
      <c r="O1394">
        <v>76.27</v>
      </c>
      <c r="P1394">
        <v>0.0</v>
      </c>
      <c r="Q1394">
        <v>500.0</v>
      </c>
      <c r="R1394"/>
      <c r="S1394"/>
      <c r="T1394"/>
      <c r="U1394"/>
      <c r="V1394"/>
      <c r="W1394">
        <v>18</v>
      </c>
    </row>
    <row r="1395" spans="1:23">
      <c r="A1395"/>
      <c r="B1395" t="s">
        <v>95</v>
      </c>
      <c r="C1395" t="s">
        <v>95</v>
      </c>
      <c r="D1395" t="s">
        <v>37</v>
      </c>
      <c r="E1395" t="s">
        <v>38</v>
      </c>
      <c r="F1395" t="str">
        <f>"0001495"</f>
        <v>0001495</v>
      </c>
      <c r="G1395">
        <v>1</v>
      </c>
      <c r="H1395" t="str">
        <f>"00000000"</f>
        <v>00000000</v>
      </c>
      <c r="I1395" t="s">
        <v>39</v>
      </c>
      <c r="J1395"/>
      <c r="K1395">
        <v>381.36</v>
      </c>
      <c r="L1395">
        <v>0.0</v>
      </c>
      <c r="M1395"/>
      <c r="N1395"/>
      <c r="O1395">
        <v>68.64</v>
      </c>
      <c r="P1395">
        <v>0.0</v>
      </c>
      <c r="Q1395">
        <v>450.0</v>
      </c>
      <c r="R1395"/>
      <c r="S1395"/>
      <c r="T1395"/>
      <c r="U1395"/>
      <c r="V1395"/>
      <c r="W1395">
        <v>18</v>
      </c>
    </row>
    <row r="1396" spans="1:23">
      <c r="A1396"/>
      <c r="B1396" t="s">
        <v>96</v>
      </c>
      <c r="C1396" t="s">
        <v>96</v>
      </c>
      <c r="D1396" t="s">
        <v>37</v>
      </c>
      <c r="E1396" t="s">
        <v>38</v>
      </c>
      <c r="F1396" t="str">
        <f>"0001496"</f>
        <v>0001496</v>
      </c>
      <c r="G1396">
        <v>1</v>
      </c>
      <c r="H1396" t="str">
        <f>"00000000"</f>
        <v>00000000</v>
      </c>
      <c r="I1396" t="s">
        <v>39</v>
      </c>
      <c r="J1396"/>
      <c r="K1396">
        <v>406.78</v>
      </c>
      <c r="L1396">
        <v>0.0</v>
      </c>
      <c r="M1396"/>
      <c r="N1396"/>
      <c r="O1396">
        <v>73.22</v>
      </c>
      <c r="P1396">
        <v>0.0</v>
      </c>
      <c r="Q1396">
        <v>480.0</v>
      </c>
      <c r="R1396"/>
      <c r="S1396"/>
      <c r="T1396"/>
      <c r="U1396"/>
      <c r="V1396"/>
      <c r="W1396">
        <v>18</v>
      </c>
    </row>
    <row r="1397" spans="1:23">
      <c r="A1397"/>
      <c r="B1397" t="s">
        <v>96</v>
      </c>
      <c r="C1397" t="s">
        <v>96</v>
      </c>
      <c r="D1397" t="s">
        <v>37</v>
      </c>
      <c r="E1397" t="s">
        <v>38</v>
      </c>
      <c r="F1397" t="str">
        <f>"0001497"</f>
        <v>0001497</v>
      </c>
      <c r="G1397">
        <v>1</v>
      </c>
      <c r="H1397" t="str">
        <f>"00000000"</f>
        <v>00000000</v>
      </c>
      <c r="I1397" t="s">
        <v>39</v>
      </c>
      <c r="J1397"/>
      <c r="K1397">
        <v>423.73</v>
      </c>
      <c r="L1397">
        <v>0.0</v>
      </c>
      <c r="M1397"/>
      <c r="N1397"/>
      <c r="O1397">
        <v>76.27</v>
      </c>
      <c r="P1397">
        <v>0.0</v>
      </c>
      <c r="Q1397">
        <v>500.0</v>
      </c>
      <c r="R1397"/>
      <c r="S1397"/>
      <c r="T1397"/>
      <c r="U1397"/>
      <c r="V1397"/>
      <c r="W1397">
        <v>18</v>
      </c>
    </row>
    <row r="1398" spans="1:23">
      <c r="A1398"/>
      <c r="B1398" t="s">
        <v>96</v>
      </c>
      <c r="C1398" t="s">
        <v>96</v>
      </c>
      <c r="D1398" t="s">
        <v>37</v>
      </c>
      <c r="E1398" t="s">
        <v>38</v>
      </c>
      <c r="F1398" t="str">
        <f>"0001498"</f>
        <v>0001498</v>
      </c>
      <c r="G1398">
        <v>1</v>
      </c>
      <c r="H1398" t="str">
        <f>"00000000"</f>
        <v>00000000</v>
      </c>
      <c r="I1398" t="s">
        <v>39</v>
      </c>
      <c r="J1398"/>
      <c r="K1398">
        <v>254.24</v>
      </c>
      <c r="L1398">
        <v>0.0</v>
      </c>
      <c r="M1398"/>
      <c r="N1398"/>
      <c r="O1398">
        <v>45.76</v>
      </c>
      <c r="P1398">
        <v>0.0</v>
      </c>
      <c r="Q1398">
        <v>300.0</v>
      </c>
      <c r="R1398"/>
      <c r="S1398"/>
      <c r="T1398"/>
      <c r="U1398"/>
      <c r="V1398"/>
      <c r="W1398">
        <v>18</v>
      </c>
    </row>
    <row r="1399" spans="1:23">
      <c r="A1399"/>
      <c r="B1399" t="s">
        <v>96</v>
      </c>
      <c r="C1399" t="s">
        <v>96</v>
      </c>
      <c r="D1399" t="s">
        <v>37</v>
      </c>
      <c r="E1399" t="s">
        <v>38</v>
      </c>
      <c r="F1399" t="str">
        <f>"0001499"</f>
        <v>0001499</v>
      </c>
      <c r="G1399">
        <v>1</v>
      </c>
      <c r="H1399" t="str">
        <f>"00000000"</f>
        <v>00000000</v>
      </c>
      <c r="I1399" t="s">
        <v>39</v>
      </c>
      <c r="J1399"/>
      <c r="K1399">
        <v>423.73</v>
      </c>
      <c r="L1399">
        <v>0.0</v>
      </c>
      <c r="M1399"/>
      <c r="N1399"/>
      <c r="O1399">
        <v>76.27</v>
      </c>
      <c r="P1399">
        <v>0.0</v>
      </c>
      <c r="Q1399">
        <v>500.0</v>
      </c>
      <c r="R1399"/>
      <c r="S1399"/>
      <c r="T1399"/>
      <c r="U1399"/>
      <c r="V1399"/>
      <c r="W1399">
        <v>18</v>
      </c>
    </row>
    <row r="1400" spans="1:23">
      <c r="A1400"/>
      <c r="B1400" t="s">
        <v>96</v>
      </c>
      <c r="C1400" t="s">
        <v>96</v>
      </c>
      <c r="D1400" t="s">
        <v>37</v>
      </c>
      <c r="E1400" t="s">
        <v>38</v>
      </c>
      <c r="F1400" t="str">
        <f>"0001500"</f>
        <v>0001500</v>
      </c>
      <c r="G1400">
        <v>1</v>
      </c>
      <c r="H1400" t="str">
        <f>"00000000"</f>
        <v>00000000</v>
      </c>
      <c r="I1400" t="s">
        <v>39</v>
      </c>
      <c r="J1400"/>
      <c r="K1400">
        <v>406.78</v>
      </c>
      <c r="L1400">
        <v>0.0</v>
      </c>
      <c r="M1400"/>
      <c r="N1400"/>
      <c r="O1400">
        <v>73.22</v>
      </c>
      <c r="P1400">
        <v>0.0</v>
      </c>
      <c r="Q1400">
        <v>480.0</v>
      </c>
      <c r="R1400"/>
      <c r="S1400"/>
      <c r="T1400"/>
      <c r="U1400"/>
      <c r="V1400"/>
      <c r="W1400">
        <v>18</v>
      </c>
    </row>
    <row r="1401" spans="1:23">
      <c r="A1401"/>
      <c r="B1401" t="s">
        <v>96</v>
      </c>
      <c r="C1401" t="s">
        <v>96</v>
      </c>
      <c r="D1401" t="s">
        <v>37</v>
      </c>
      <c r="E1401" t="s">
        <v>38</v>
      </c>
      <c r="F1401" t="str">
        <f>"0001501"</f>
        <v>0001501</v>
      </c>
      <c r="G1401">
        <v>1</v>
      </c>
      <c r="H1401" t="str">
        <f>"00000000"</f>
        <v>00000000</v>
      </c>
      <c r="I1401" t="s">
        <v>39</v>
      </c>
      <c r="J1401"/>
      <c r="K1401">
        <v>423.73</v>
      </c>
      <c r="L1401">
        <v>0.0</v>
      </c>
      <c r="M1401"/>
      <c r="N1401"/>
      <c r="O1401">
        <v>76.27</v>
      </c>
      <c r="P1401">
        <v>0.0</v>
      </c>
      <c r="Q1401">
        <v>500.0</v>
      </c>
      <c r="R1401"/>
      <c r="S1401"/>
      <c r="T1401"/>
      <c r="U1401"/>
      <c r="V1401"/>
      <c r="W1401">
        <v>18</v>
      </c>
    </row>
    <row r="1402" spans="1:23">
      <c r="A1402"/>
      <c r="B1402" t="s">
        <v>96</v>
      </c>
      <c r="C1402" t="s">
        <v>96</v>
      </c>
      <c r="D1402" t="s">
        <v>37</v>
      </c>
      <c r="E1402" t="s">
        <v>38</v>
      </c>
      <c r="F1402" t="str">
        <f>"0001502"</f>
        <v>0001502</v>
      </c>
      <c r="G1402">
        <v>1</v>
      </c>
      <c r="H1402" t="str">
        <f>"00000000"</f>
        <v>00000000</v>
      </c>
      <c r="I1402" t="s">
        <v>39</v>
      </c>
      <c r="J1402"/>
      <c r="K1402">
        <v>338.98</v>
      </c>
      <c r="L1402">
        <v>0.0</v>
      </c>
      <c r="M1402"/>
      <c r="N1402"/>
      <c r="O1402">
        <v>61.02</v>
      </c>
      <c r="P1402">
        <v>0.0</v>
      </c>
      <c r="Q1402">
        <v>400.0</v>
      </c>
      <c r="R1402"/>
      <c r="S1402"/>
      <c r="T1402"/>
      <c r="U1402"/>
      <c r="V1402"/>
      <c r="W1402">
        <v>18</v>
      </c>
    </row>
    <row r="1403" spans="1:23">
      <c r="A1403"/>
      <c r="B1403" t="s">
        <v>96</v>
      </c>
      <c r="C1403" t="s">
        <v>96</v>
      </c>
      <c r="D1403" t="s">
        <v>37</v>
      </c>
      <c r="E1403" t="s">
        <v>38</v>
      </c>
      <c r="F1403" t="str">
        <f>"0001503"</f>
        <v>0001503</v>
      </c>
      <c r="G1403">
        <v>1</v>
      </c>
      <c r="H1403" t="str">
        <f>"00000000"</f>
        <v>00000000</v>
      </c>
      <c r="I1403" t="s">
        <v>39</v>
      </c>
      <c r="J1403"/>
      <c r="K1403">
        <v>338.98</v>
      </c>
      <c r="L1403">
        <v>0.0</v>
      </c>
      <c r="M1403"/>
      <c r="N1403"/>
      <c r="O1403">
        <v>61.02</v>
      </c>
      <c r="P1403">
        <v>0.0</v>
      </c>
      <c r="Q1403">
        <v>400.0</v>
      </c>
      <c r="R1403"/>
      <c r="S1403"/>
      <c r="T1403"/>
      <c r="U1403"/>
      <c r="V1403"/>
      <c r="W1403">
        <v>18</v>
      </c>
    </row>
    <row r="1404" spans="1:23">
      <c r="A1404"/>
      <c r="B1404" t="s">
        <v>96</v>
      </c>
      <c r="C1404" t="s">
        <v>96</v>
      </c>
      <c r="D1404" t="s">
        <v>37</v>
      </c>
      <c r="E1404" t="s">
        <v>38</v>
      </c>
      <c r="F1404" t="str">
        <f>"0001504"</f>
        <v>0001504</v>
      </c>
      <c r="G1404">
        <v>1</v>
      </c>
      <c r="H1404" t="str">
        <f>"00000000"</f>
        <v>00000000</v>
      </c>
      <c r="I1404" t="s">
        <v>39</v>
      </c>
      <c r="J1404"/>
      <c r="K1404">
        <v>355.93</v>
      </c>
      <c r="L1404">
        <v>0.0</v>
      </c>
      <c r="M1404"/>
      <c r="N1404"/>
      <c r="O1404">
        <v>64.07</v>
      </c>
      <c r="P1404">
        <v>0.0</v>
      </c>
      <c r="Q1404">
        <v>420.0</v>
      </c>
      <c r="R1404"/>
      <c r="S1404"/>
      <c r="T1404"/>
      <c r="U1404"/>
      <c r="V1404"/>
      <c r="W1404">
        <v>18</v>
      </c>
    </row>
    <row r="1405" spans="1:23">
      <c r="A1405"/>
      <c r="B1405" t="s">
        <v>96</v>
      </c>
      <c r="C1405" t="s">
        <v>96</v>
      </c>
      <c r="D1405" t="s">
        <v>37</v>
      </c>
      <c r="E1405" t="s">
        <v>38</v>
      </c>
      <c r="F1405" t="str">
        <f>"0001505"</f>
        <v>0001505</v>
      </c>
      <c r="G1405">
        <v>1</v>
      </c>
      <c r="H1405" t="str">
        <f>"00000000"</f>
        <v>00000000</v>
      </c>
      <c r="I1405" t="s">
        <v>39</v>
      </c>
      <c r="J1405"/>
      <c r="K1405">
        <v>406.78</v>
      </c>
      <c r="L1405">
        <v>0.0</v>
      </c>
      <c r="M1405"/>
      <c r="N1405"/>
      <c r="O1405">
        <v>73.22</v>
      </c>
      <c r="P1405">
        <v>0.0</v>
      </c>
      <c r="Q1405">
        <v>480.0</v>
      </c>
      <c r="R1405"/>
      <c r="S1405"/>
      <c r="T1405"/>
      <c r="U1405"/>
      <c r="V1405"/>
      <c r="W1405">
        <v>18</v>
      </c>
    </row>
    <row r="1406" spans="1:23">
      <c r="A1406"/>
      <c r="B1406" t="s">
        <v>96</v>
      </c>
      <c r="C1406" t="s">
        <v>96</v>
      </c>
      <c r="D1406" t="s">
        <v>37</v>
      </c>
      <c r="E1406" t="s">
        <v>38</v>
      </c>
      <c r="F1406" t="str">
        <f>"0001506"</f>
        <v>0001506</v>
      </c>
      <c r="G1406">
        <v>1</v>
      </c>
      <c r="H1406" t="str">
        <f>"00000000"</f>
        <v>00000000</v>
      </c>
      <c r="I1406" t="s">
        <v>39</v>
      </c>
      <c r="J1406"/>
      <c r="K1406">
        <v>372.88</v>
      </c>
      <c r="L1406">
        <v>0.0</v>
      </c>
      <c r="M1406"/>
      <c r="N1406"/>
      <c r="O1406">
        <v>67.12</v>
      </c>
      <c r="P1406">
        <v>0.0</v>
      </c>
      <c r="Q1406">
        <v>440.0</v>
      </c>
      <c r="R1406"/>
      <c r="S1406"/>
      <c r="T1406"/>
      <c r="U1406"/>
      <c r="V1406"/>
      <c r="W1406">
        <v>18</v>
      </c>
    </row>
    <row r="1407" spans="1:23">
      <c r="A1407"/>
      <c r="B1407" t="s">
        <v>96</v>
      </c>
      <c r="C1407" t="s">
        <v>96</v>
      </c>
      <c r="D1407" t="s">
        <v>37</v>
      </c>
      <c r="E1407" t="s">
        <v>38</v>
      </c>
      <c r="F1407" t="str">
        <f>"0001507"</f>
        <v>0001507</v>
      </c>
      <c r="G1407">
        <v>1</v>
      </c>
      <c r="H1407" t="str">
        <f>"00000000"</f>
        <v>00000000</v>
      </c>
      <c r="I1407" t="s">
        <v>39</v>
      </c>
      <c r="J1407"/>
      <c r="K1407">
        <v>406.78</v>
      </c>
      <c r="L1407">
        <v>0.0</v>
      </c>
      <c r="M1407"/>
      <c r="N1407"/>
      <c r="O1407">
        <v>73.22</v>
      </c>
      <c r="P1407">
        <v>0.0</v>
      </c>
      <c r="Q1407">
        <v>480.0</v>
      </c>
      <c r="R1407"/>
      <c r="S1407"/>
      <c r="T1407"/>
      <c r="U1407"/>
      <c r="V1407"/>
      <c r="W1407">
        <v>18</v>
      </c>
    </row>
    <row r="1408" spans="1:23">
      <c r="A1408"/>
      <c r="B1408" t="s">
        <v>96</v>
      </c>
      <c r="C1408" t="s">
        <v>96</v>
      </c>
      <c r="D1408" t="s">
        <v>37</v>
      </c>
      <c r="E1408" t="s">
        <v>38</v>
      </c>
      <c r="F1408" t="str">
        <f>"0001508"</f>
        <v>0001508</v>
      </c>
      <c r="G1408">
        <v>1</v>
      </c>
      <c r="H1408" t="str">
        <f>"00000000"</f>
        <v>00000000</v>
      </c>
      <c r="I1408" t="s">
        <v>39</v>
      </c>
      <c r="J1408"/>
      <c r="K1408">
        <v>406.78</v>
      </c>
      <c r="L1408">
        <v>0.0</v>
      </c>
      <c r="M1408"/>
      <c r="N1408"/>
      <c r="O1408">
        <v>73.22</v>
      </c>
      <c r="P1408">
        <v>0.0</v>
      </c>
      <c r="Q1408">
        <v>480.0</v>
      </c>
      <c r="R1408"/>
      <c r="S1408"/>
      <c r="T1408"/>
      <c r="U1408"/>
      <c r="V1408"/>
      <c r="W1408">
        <v>18</v>
      </c>
    </row>
    <row r="1409" spans="1:23">
      <c r="A1409"/>
      <c r="B1409" t="s">
        <v>96</v>
      </c>
      <c r="C1409" t="s">
        <v>96</v>
      </c>
      <c r="D1409" t="s">
        <v>37</v>
      </c>
      <c r="E1409" t="s">
        <v>38</v>
      </c>
      <c r="F1409" t="str">
        <f>"0001509"</f>
        <v>0001509</v>
      </c>
      <c r="G1409">
        <v>1</v>
      </c>
      <c r="H1409" t="str">
        <f>"00000000"</f>
        <v>00000000</v>
      </c>
      <c r="I1409" t="s">
        <v>39</v>
      </c>
      <c r="J1409"/>
      <c r="K1409">
        <v>330.51</v>
      </c>
      <c r="L1409">
        <v>0.0</v>
      </c>
      <c r="M1409"/>
      <c r="N1409"/>
      <c r="O1409">
        <v>59.49</v>
      </c>
      <c r="P1409">
        <v>0.0</v>
      </c>
      <c r="Q1409">
        <v>390.0</v>
      </c>
      <c r="R1409"/>
      <c r="S1409"/>
      <c r="T1409"/>
      <c r="U1409"/>
      <c r="V1409"/>
      <c r="W1409">
        <v>18</v>
      </c>
    </row>
    <row r="1410" spans="1:23">
      <c r="A1410"/>
      <c r="B1410" t="s">
        <v>96</v>
      </c>
      <c r="C1410" t="s">
        <v>96</v>
      </c>
      <c r="D1410" t="s">
        <v>37</v>
      </c>
      <c r="E1410" t="s">
        <v>38</v>
      </c>
      <c r="F1410" t="str">
        <f>"0001510"</f>
        <v>0001510</v>
      </c>
      <c r="G1410">
        <v>1</v>
      </c>
      <c r="H1410" t="str">
        <f>"00000000"</f>
        <v>00000000</v>
      </c>
      <c r="I1410" t="s">
        <v>39</v>
      </c>
      <c r="J1410"/>
      <c r="K1410">
        <v>406.78</v>
      </c>
      <c r="L1410">
        <v>0.0</v>
      </c>
      <c r="M1410"/>
      <c r="N1410"/>
      <c r="O1410">
        <v>73.22</v>
      </c>
      <c r="P1410">
        <v>0.0</v>
      </c>
      <c r="Q1410">
        <v>480.0</v>
      </c>
      <c r="R1410"/>
      <c r="S1410"/>
      <c r="T1410"/>
      <c r="U1410"/>
      <c r="V1410"/>
      <c r="W1410">
        <v>18</v>
      </c>
    </row>
    <row r="1411" spans="1:23">
      <c r="A1411"/>
      <c r="B1411" t="s">
        <v>96</v>
      </c>
      <c r="C1411" t="s">
        <v>96</v>
      </c>
      <c r="D1411" t="s">
        <v>37</v>
      </c>
      <c r="E1411" t="s">
        <v>38</v>
      </c>
      <c r="F1411" t="str">
        <f>"0001511"</f>
        <v>0001511</v>
      </c>
      <c r="G1411">
        <v>1</v>
      </c>
      <c r="H1411" t="str">
        <f>"00000000"</f>
        <v>00000000</v>
      </c>
      <c r="I1411" t="s">
        <v>39</v>
      </c>
      <c r="J1411"/>
      <c r="K1411">
        <v>254.24</v>
      </c>
      <c r="L1411">
        <v>0.0</v>
      </c>
      <c r="M1411"/>
      <c r="N1411"/>
      <c r="O1411">
        <v>45.76</v>
      </c>
      <c r="P1411">
        <v>0.0</v>
      </c>
      <c r="Q1411">
        <v>300.0</v>
      </c>
      <c r="R1411"/>
      <c r="S1411"/>
      <c r="T1411"/>
      <c r="U1411"/>
      <c r="V1411"/>
      <c r="W1411">
        <v>18</v>
      </c>
    </row>
    <row r="1412" spans="1:23">
      <c r="A1412"/>
      <c r="B1412" t="s">
        <v>96</v>
      </c>
      <c r="C1412" t="s">
        <v>96</v>
      </c>
      <c r="D1412" t="s">
        <v>37</v>
      </c>
      <c r="E1412" t="s">
        <v>38</v>
      </c>
      <c r="F1412" t="str">
        <f>"0001512"</f>
        <v>0001512</v>
      </c>
      <c r="G1412">
        <v>1</v>
      </c>
      <c r="H1412" t="str">
        <f>"00000000"</f>
        <v>00000000</v>
      </c>
      <c r="I1412" t="s">
        <v>39</v>
      </c>
      <c r="J1412"/>
      <c r="K1412">
        <v>338.98</v>
      </c>
      <c r="L1412">
        <v>0.0</v>
      </c>
      <c r="M1412"/>
      <c r="N1412"/>
      <c r="O1412">
        <v>61.02</v>
      </c>
      <c r="P1412">
        <v>0.0</v>
      </c>
      <c r="Q1412">
        <v>400.0</v>
      </c>
      <c r="R1412"/>
      <c r="S1412"/>
      <c r="T1412"/>
      <c r="U1412"/>
      <c r="V1412"/>
      <c r="W1412">
        <v>18</v>
      </c>
    </row>
    <row r="1413" spans="1:23">
      <c r="A1413"/>
      <c r="B1413" t="s">
        <v>96</v>
      </c>
      <c r="C1413" t="s">
        <v>96</v>
      </c>
      <c r="D1413" t="s">
        <v>37</v>
      </c>
      <c r="E1413" t="s">
        <v>38</v>
      </c>
      <c r="F1413" t="str">
        <f>"0001513"</f>
        <v>0001513</v>
      </c>
      <c r="G1413">
        <v>1</v>
      </c>
      <c r="H1413" t="str">
        <f>"00000000"</f>
        <v>00000000</v>
      </c>
      <c r="I1413" t="s">
        <v>39</v>
      </c>
      <c r="J1413"/>
      <c r="K1413">
        <v>372.88</v>
      </c>
      <c r="L1413">
        <v>0.0</v>
      </c>
      <c r="M1413"/>
      <c r="N1413"/>
      <c r="O1413">
        <v>67.12</v>
      </c>
      <c r="P1413">
        <v>0.0</v>
      </c>
      <c r="Q1413">
        <v>440.0</v>
      </c>
      <c r="R1413"/>
      <c r="S1413"/>
      <c r="T1413"/>
      <c r="U1413"/>
      <c r="V1413"/>
      <c r="W1413">
        <v>18</v>
      </c>
    </row>
    <row r="1414" spans="1:23">
      <c r="A1414"/>
      <c r="B1414" t="s">
        <v>96</v>
      </c>
      <c r="C1414" t="s">
        <v>96</v>
      </c>
      <c r="D1414" t="s">
        <v>37</v>
      </c>
      <c r="E1414" t="s">
        <v>38</v>
      </c>
      <c r="F1414" t="str">
        <f>"0001514"</f>
        <v>0001514</v>
      </c>
      <c r="G1414">
        <v>1</v>
      </c>
      <c r="H1414" t="str">
        <f>"00000000"</f>
        <v>00000000</v>
      </c>
      <c r="I1414" t="s">
        <v>39</v>
      </c>
      <c r="J1414"/>
      <c r="K1414">
        <v>423.73</v>
      </c>
      <c r="L1414">
        <v>0.0</v>
      </c>
      <c r="M1414"/>
      <c r="N1414"/>
      <c r="O1414">
        <v>76.27</v>
      </c>
      <c r="P1414">
        <v>0.0</v>
      </c>
      <c r="Q1414">
        <v>500.0</v>
      </c>
      <c r="R1414"/>
      <c r="S1414"/>
      <c r="T1414"/>
      <c r="U1414"/>
      <c r="V1414"/>
      <c r="W1414">
        <v>18</v>
      </c>
    </row>
    <row r="1415" spans="1:23">
      <c r="A1415"/>
      <c r="B1415" t="s">
        <v>96</v>
      </c>
      <c r="C1415" t="s">
        <v>96</v>
      </c>
      <c r="D1415" t="s">
        <v>37</v>
      </c>
      <c r="E1415" t="s">
        <v>38</v>
      </c>
      <c r="F1415" t="str">
        <f>"0001515"</f>
        <v>0001515</v>
      </c>
      <c r="G1415">
        <v>1</v>
      </c>
      <c r="H1415" t="str">
        <f>"00000000"</f>
        <v>00000000</v>
      </c>
      <c r="I1415" t="s">
        <v>39</v>
      </c>
      <c r="J1415"/>
      <c r="K1415">
        <v>372.88</v>
      </c>
      <c r="L1415">
        <v>0.0</v>
      </c>
      <c r="M1415"/>
      <c r="N1415"/>
      <c r="O1415">
        <v>67.12</v>
      </c>
      <c r="P1415">
        <v>0.0</v>
      </c>
      <c r="Q1415">
        <v>440.0</v>
      </c>
      <c r="R1415"/>
      <c r="S1415"/>
      <c r="T1415"/>
      <c r="U1415"/>
      <c r="V1415"/>
      <c r="W1415">
        <v>18</v>
      </c>
    </row>
    <row r="1416" spans="1:23">
      <c r="A1416"/>
      <c r="B1416" t="s">
        <v>96</v>
      </c>
      <c r="C1416" t="s">
        <v>96</v>
      </c>
      <c r="D1416" t="s">
        <v>37</v>
      </c>
      <c r="E1416" t="s">
        <v>38</v>
      </c>
      <c r="F1416" t="str">
        <f>"0001516"</f>
        <v>0001516</v>
      </c>
      <c r="G1416">
        <v>1</v>
      </c>
      <c r="H1416" t="str">
        <f>"00000000"</f>
        <v>00000000</v>
      </c>
      <c r="I1416" t="s">
        <v>39</v>
      </c>
      <c r="J1416"/>
      <c r="K1416">
        <v>381.36</v>
      </c>
      <c r="L1416">
        <v>0.0</v>
      </c>
      <c r="M1416"/>
      <c r="N1416"/>
      <c r="O1416">
        <v>68.64</v>
      </c>
      <c r="P1416">
        <v>0.0</v>
      </c>
      <c r="Q1416">
        <v>450.0</v>
      </c>
      <c r="R1416"/>
      <c r="S1416"/>
      <c r="T1416"/>
      <c r="U1416"/>
      <c r="V1416"/>
      <c r="W1416">
        <v>18</v>
      </c>
    </row>
    <row r="1417" spans="1:23">
      <c r="A1417"/>
      <c r="B1417" t="s">
        <v>96</v>
      </c>
      <c r="C1417" t="s">
        <v>96</v>
      </c>
      <c r="D1417" t="s">
        <v>37</v>
      </c>
      <c r="E1417" t="s">
        <v>38</v>
      </c>
      <c r="F1417" t="str">
        <f>"0001517"</f>
        <v>0001517</v>
      </c>
      <c r="G1417">
        <v>1</v>
      </c>
      <c r="H1417" t="str">
        <f>"00000000"</f>
        <v>00000000</v>
      </c>
      <c r="I1417" t="s">
        <v>39</v>
      </c>
      <c r="J1417"/>
      <c r="K1417">
        <v>355.93</v>
      </c>
      <c r="L1417">
        <v>0.0</v>
      </c>
      <c r="M1417"/>
      <c r="N1417"/>
      <c r="O1417">
        <v>64.07</v>
      </c>
      <c r="P1417">
        <v>0.0</v>
      </c>
      <c r="Q1417">
        <v>420.0</v>
      </c>
      <c r="R1417"/>
      <c r="S1417"/>
      <c r="T1417"/>
      <c r="U1417"/>
      <c r="V1417"/>
      <c r="W1417">
        <v>18</v>
      </c>
    </row>
    <row r="1418" spans="1:23">
      <c r="A1418"/>
      <c r="B1418" t="s">
        <v>96</v>
      </c>
      <c r="C1418" t="s">
        <v>96</v>
      </c>
      <c r="D1418" t="s">
        <v>37</v>
      </c>
      <c r="E1418" t="s">
        <v>38</v>
      </c>
      <c r="F1418" t="str">
        <f>"0001518"</f>
        <v>0001518</v>
      </c>
      <c r="G1418">
        <v>1</v>
      </c>
      <c r="H1418" t="str">
        <f>"00000000"</f>
        <v>00000000</v>
      </c>
      <c r="I1418" t="s">
        <v>39</v>
      </c>
      <c r="J1418"/>
      <c r="K1418">
        <v>389.83</v>
      </c>
      <c r="L1418">
        <v>0.0</v>
      </c>
      <c r="M1418"/>
      <c r="N1418"/>
      <c r="O1418">
        <v>70.17</v>
      </c>
      <c r="P1418">
        <v>0.0</v>
      </c>
      <c r="Q1418">
        <v>460.0</v>
      </c>
      <c r="R1418"/>
      <c r="S1418"/>
      <c r="T1418"/>
      <c r="U1418"/>
      <c r="V1418"/>
      <c r="W1418">
        <v>18</v>
      </c>
    </row>
    <row r="1419" spans="1:23">
      <c r="A1419"/>
      <c r="B1419" t="s">
        <v>96</v>
      </c>
      <c r="C1419" t="s">
        <v>96</v>
      </c>
      <c r="D1419" t="s">
        <v>37</v>
      </c>
      <c r="E1419" t="s">
        <v>38</v>
      </c>
      <c r="F1419" t="str">
        <f>"0001519"</f>
        <v>0001519</v>
      </c>
      <c r="G1419">
        <v>1</v>
      </c>
      <c r="H1419" t="str">
        <f>"00000000"</f>
        <v>00000000</v>
      </c>
      <c r="I1419" t="s">
        <v>39</v>
      </c>
      <c r="J1419"/>
      <c r="K1419">
        <v>381.36</v>
      </c>
      <c r="L1419">
        <v>0.0</v>
      </c>
      <c r="M1419"/>
      <c r="N1419"/>
      <c r="O1419">
        <v>68.64</v>
      </c>
      <c r="P1419">
        <v>0.0</v>
      </c>
      <c r="Q1419">
        <v>450.0</v>
      </c>
      <c r="R1419"/>
      <c r="S1419"/>
      <c r="T1419"/>
      <c r="U1419"/>
      <c r="V1419"/>
      <c r="W1419">
        <v>18</v>
      </c>
    </row>
    <row r="1420" spans="1:23">
      <c r="A1420"/>
      <c r="B1420" t="s">
        <v>96</v>
      </c>
      <c r="C1420" t="s">
        <v>96</v>
      </c>
      <c r="D1420" t="s">
        <v>37</v>
      </c>
      <c r="E1420" t="s">
        <v>38</v>
      </c>
      <c r="F1420" t="str">
        <f>"0001520"</f>
        <v>0001520</v>
      </c>
      <c r="G1420">
        <v>1</v>
      </c>
      <c r="H1420" t="str">
        <f>"00000000"</f>
        <v>00000000</v>
      </c>
      <c r="I1420" t="s">
        <v>39</v>
      </c>
      <c r="J1420"/>
      <c r="K1420">
        <v>254.24</v>
      </c>
      <c r="L1420">
        <v>0.0</v>
      </c>
      <c r="M1420"/>
      <c r="N1420"/>
      <c r="O1420">
        <v>45.76</v>
      </c>
      <c r="P1420">
        <v>0.0</v>
      </c>
      <c r="Q1420">
        <v>300.0</v>
      </c>
      <c r="R1420"/>
      <c r="S1420"/>
      <c r="T1420"/>
      <c r="U1420"/>
      <c r="V1420"/>
      <c r="W1420">
        <v>18</v>
      </c>
    </row>
    <row r="1421" spans="1:23">
      <c r="A1421"/>
      <c r="B1421" t="s">
        <v>96</v>
      </c>
      <c r="C1421" t="s">
        <v>96</v>
      </c>
      <c r="D1421" t="s">
        <v>37</v>
      </c>
      <c r="E1421" t="s">
        <v>38</v>
      </c>
      <c r="F1421" t="str">
        <f>"0001521"</f>
        <v>0001521</v>
      </c>
      <c r="G1421">
        <v>1</v>
      </c>
      <c r="H1421" t="str">
        <f>"00000000"</f>
        <v>00000000</v>
      </c>
      <c r="I1421" t="s">
        <v>39</v>
      </c>
      <c r="J1421"/>
      <c r="K1421">
        <v>398.31</v>
      </c>
      <c r="L1421">
        <v>0.0</v>
      </c>
      <c r="M1421"/>
      <c r="N1421"/>
      <c r="O1421">
        <v>71.69</v>
      </c>
      <c r="P1421">
        <v>0.0</v>
      </c>
      <c r="Q1421">
        <v>470.0</v>
      </c>
      <c r="R1421"/>
      <c r="S1421"/>
      <c r="T1421"/>
      <c r="U1421"/>
      <c r="V1421"/>
      <c r="W1421">
        <v>18</v>
      </c>
    </row>
    <row r="1422" spans="1:23">
      <c r="A1422"/>
      <c r="B1422" t="s">
        <v>96</v>
      </c>
      <c r="C1422" t="s">
        <v>96</v>
      </c>
      <c r="D1422" t="s">
        <v>37</v>
      </c>
      <c r="E1422" t="s">
        <v>38</v>
      </c>
      <c r="F1422" t="str">
        <f>"0001522"</f>
        <v>0001522</v>
      </c>
      <c r="G1422">
        <v>1</v>
      </c>
      <c r="H1422" t="str">
        <f>"00000000"</f>
        <v>00000000</v>
      </c>
      <c r="I1422" t="s">
        <v>39</v>
      </c>
      <c r="J1422"/>
      <c r="K1422">
        <v>398.31</v>
      </c>
      <c r="L1422">
        <v>0.0</v>
      </c>
      <c r="M1422"/>
      <c r="N1422"/>
      <c r="O1422">
        <v>71.69</v>
      </c>
      <c r="P1422">
        <v>0.0</v>
      </c>
      <c r="Q1422">
        <v>470.0</v>
      </c>
      <c r="R1422"/>
      <c r="S1422"/>
      <c r="T1422"/>
      <c r="U1422"/>
      <c r="V1422"/>
      <c r="W1422">
        <v>18</v>
      </c>
    </row>
    <row r="1423" spans="1:23">
      <c r="A1423"/>
      <c r="B1423" t="s">
        <v>96</v>
      </c>
      <c r="C1423" t="s">
        <v>96</v>
      </c>
      <c r="D1423" t="s">
        <v>37</v>
      </c>
      <c r="E1423" t="s">
        <v>38</v>
      </c>
      <c r="F1423" t="str">
        <f>"0001523"</f>
        <v>0001523</v>
      </c>
      <c r="G1423">
        <v>1</v>
      </c>
      <c r="H1423" t="str">
        <f>"00000000"</f>
        <v>00000000</v>
      </c>
      <c r="I1423" t="s">
        <v>39</v>
      </c>
      <c r="J1423"/>
      <c r="K1423">
        <v>389.83</v>
      </c>
      <c r="L1423">
        <v>0.0</v>
      </c>
      <c r="M1423"/>
      <c r="N1423"/>
      <c r="O1423">
        <v>70.17</v>
      </c>
      <c r="P1423">
        <v>0.0</v>
      </c>
      <c r="Q1423">
        <v>460.0</v>
      </c>
      <c r="R1423"/>
      <c r="S1423"/>
      <c r="T1423"/>
      <c r="U1423"/>
      <c r="V1423"/>
      <c r="W1423">
        <v>18</v>
      </c>
    </row>
    <row r="1424" spans="1:23">
      <c r="A1424"/>
      <c r="B1424" t="s">
        <v>96</v>
      </c>
      <c r="C1424" t="s">
        <v>96</v>
      </c>
      <c r="D1424" t="s">
        <v>37</v>
      </c>
      <c r="E1424" t="s">
        <v>38</v>
      </c>
      <c r="F1424" t="str">
        <f>"0001524"</f>
        <v>0001524</v>
      </c>
      <c r="G1424">
        <v>1</v>
      </c>
      <c r="H1424" t="str">
        <f>"00000000"</f>
        <v>00000000</v>
      </c>
      <c r="I1424" t="s">
        <v>39</v>
      </c>
      <c r="J1424"/>
      <c r="K1424">
        <v>398.31</v>
      </c>
      <c r="L1424">
        <v>0.0</v>
      </c>
      <c r="M1424"/>
      <c r="N1424"/>
      <c r="O1424">
        <v>71.69</v>
      </c>
      <c r="P1424">
        <v>0.0</v>
      </c>
      <c r="Q1424">
        <v>470.0</v>
      </c>
      <c r="R1424"/>
      <c r="S1424"/>
      <c r="T1424"/>
      <c r="U1424"/>
      <c r="V1424"/>
      <c r="W1424">
        <v>18</v>
      </c>
    </row>
    <row r="1425" spans="1:23">
      <c r="A1425"/>
      <c r="B1425" t="s">
        <v>96</v>
      </c>
      <c r="C1425" t="s">
        <v>96</v>
      </c>
      <c r="D1425" t="s">
        <v>37</v>
      </c>
      <c r="E1425" t="s">
        <v>38</v>
      </c>
      <c r="F1425" t="str">
        <f>"0001525"</f>
        <v>0001525</v>
      </c>
      <c r="G1425">
        <v>1</v>
      </c>
      <c r="H1425" t="str">
        <f>"00000000"</f>
        <v>00000000</v>
      </c>
      <c r="I1425" t="s">
        <v>39</v>
      </c>
      <c r="J1425"/>
      <c r="K1425">
        <v>398.31</v>
      </c>
      <c r="L1425">
        <v>0.0</v>
      </c>
      <c r="M1425"/>
      <c r="N1425"/>
      <c r="O1425">
        <v>71.69</v>
      </c>
      <c r="P1425">
        <v>0.0</v>
      </c>
      <c r="Q1425">
        <v>470.0</v>
      </c>
      <c r="R1425"/>
      <c r="S1425"/>
      <c r="T1425"/>
      <c r="U1425"/>
      <c r="V1425"/>
      <c r="W1425">
        <v>18</v>
      </c>
    </row>
    <row r="1426" spans="1:23">
      <c r="A1426"/>
      <c r="B1426" t="s">
        <v>96</v>
      </c>
      <c r="C1426" t="s">
        <v>96</v>
      </c>
      <c r="D1426" t="s">
        <v>37</v>
      </c>
      <c r="E1426" t="s">
        <v>38</v>
      </c>
      <c r="F1426" t="str">
        <f>"0001526"</f>
        <v>0001526</v>
      </c>
      <c r="G1426">
        <v>1</v>
      </c>
      <c r="H1426" t="str">
        <f>"00000000"</f>
        <v>00000000</v>
      </c>
      <c r="I1426" t="s">
        <v>39</v>
      </c>
      <c r="J1426"/>
      <c r="K1426">
        <v>381.36</v>
      </c>
      <c r="L1426">
        <v>0.0</v>
      </c>
      <c r="M1426"/>
      <c r="N1426"/>
      <c r="O1426">
        <v>68.64</v>
      </c>
      <c r="P1426">
        <v>0.0</v>
      </c>
      <c r="Q1426">
        <v>450.0</v>
      </c>
      <c r="R1426"/>
      <c r="S1426"/>
      <c r="T1426"/>
      <c r="U1426"/>
      <c r="V1426"/>
      <c r="W1426">
        <v>18</v>
      </c>
    </row>
    <row r="1427" spans="1:23">
      <c r="A1427"/>
      <c r="B1427" t="s">
        <v>96</v>
      </c>
      <c r="C1427" t="s">
        <v>96</v>
      </c>
      <c r="D1427" t="s">
        <v>37</v>
      </c>
      <c r="E1427" t="s">
        <v>38</v>
      </c>
      <c r="F1427" t="str">
        <f>"0001527"</f>
        <v>0001527</v>
      </c>
      <c r="G1427">
        <v>1</v>
      </c>
      <c r="H1427" t="str">
        <f>"00000000"</f>
        <v>00000000</v>
      </c>
      <c r="I1427" t="s">
        <v>39</v>
      </c>
      <c r="J1427"/>
      <c r="K1427">
        <v>415.25</v>
      </c>
      <c r="L1427">
        <v>0.0</v>
      </c>
      <c r="M1427"/>
      <c r="N1427"/>
      <c r="O1427">
        <v>74.75</v>
      </c>
      <c r="P1427">
        <v>0.0</v>
      </c>
      <c r="Q1427">
        <v>490.0</v>
      </c>
      <c r="R1427"/>
      <c r="S1427"/>
      <c r="T1427"/>
      <c r="U1427"/>
      <c r="V1427"/>
      <c r="W1427">
        <v>18</v>
      </c>
    </row>
    <row r="1428" spans="1:23">
      <c r="A1428"/>
      <c r="B1428" t="s">
        <v>96</v>
      </c>
      <c r="C1428" t="s">
        <v>96</v>
      </c>
      <c r="D1428" t="s">
        <v>37</v>
      </c>
      <c r="E1428" t="s">
        <v>38</v>
      </c>
      <c r="F1428" t="str">
        <f>"0001528"</f>
        <v>0001528</v>
      </c>
      <c r="G1428">
        <v>1</v>
      </c>
      <c r="H1428" t="str">
        <f>"00000000"</f>
        <v>00000000</v>
      </c>
      <c r="I1428" t="s">
        <v>39</v>
      </c>
      <c r="J1428"/>
      <c r="K1428">
        <v>398.31</v>
      </c>
      <c r="L1428">
        <v>0.0</v>
      </c>
      <c r="M1428"/>
      <c r="N1428"/>
      <c r="O1428">
        <v>71.69</v>
      </c>
      <c r="P1428">
        <v>0.0</v>
      </c>
      <c r="Q1428">
        <v>470.0</v>
      </c>
      <c r="R1428"/>
      <c r="S1428"/>
      <c r="T1428"/>
      <c r="U1428"/>
      <c r="V1428"/>
      <c r="W1428">
        <v>18</v>
      </c>
    </row>
    <row r="1429" spans="1:23">
      <c r="A1429"/>
      <c r="B1429" t="s">
        <v>96</v>
      </c>
      <c r="C1429" t="s">
        <v>96</v>
      </c>
      <c r="D1429" t="s">
        <v>37</v>
      </c>
      <c r="E1429" t="s">
        <v>38</v>
      </c>
      <c r="F1429" t="str">
        <f>"0001529"</f>
        <v>0001529</v>
      </c>
      <c r="G1429">
        <v>1</v>
      </c>
      <c r="H1429" t="str">
        <f>"00000000"</f>
        <v>00000000</v>
      </c>
      <c r="I1429" t="s">
        <v>39</v>
      </c>
      <c r="J1429"/>
      <c r="K1429">
        <v>398.31</v>
      </c>
      <c r="L1429">
        <v>0.0</v>
      </c>
      <c r="M1429"/>
      <c r="N1429"/>
      <c r="O1429">
        <v>71.69</v>
      </c>
      <c r="P1429">
        <v>0.0</v>
      </c>
      <c r="Q1429">
        <v>470.0</v>
      </c>
      <c r="R1429"/>
      <c r="S1429"/>
      <c r="T1429"/>
      <c r="U1429"/>
      <c r="V1429"/>
      <c r="W1429">
        <v>18</v>
      </c>
    </row>
    <row r="1430" spans="1:23">
      <c r="A1430"/>
      <c r="B1430" t="s">
        <v>96</v>
      </c>
      <c r="C1430" t="s">
        <v>96</v>
      </c>
      <c r="D1430" t="s">
        <v>37</v>
      </c>
      <c r="E1430" t="s">
        <v>38</v>
      </c>
      <c r="F1430" t="str">
        <f>"0001530"</f>
        <v>0001530</v>
      </c>
      <c r="G1430">
        <v>1</v>
      </c>
      <c r="H1430" t="str">
        <f>"00000000"</f>
        <v>00000000</v>
      </c>
      <c r="I1430" t="s">
        <v>39</v>
      </c>
      <c r="J1430"/>
      <c r="K1430">
        <v>355.93</v>
      </c>
      <c r="L1430">
        <v>0.0</v>
      </c>
      <c r="M1430"/>
      <c r="N1430"/>
      <c r="O1430">
        <v>64.07</v>
      </c>
      <c r="P1430">
        <v>0.0</v>
      </c>
      <c r="Q1430">
        <v>420.0</v>
      </c>
      <c r="R1430"/>
      <c r="S1430"/>
      <c r="T1430"/>
      <c r="U1430"/>
      <c r="V1430"/>
      <c r="W1430">
        <v>18</v>
      </c>
    </row>
    <row r="1431" spans="1:23">
      <c r="A1431"/>
      <c r="B1431" t="s">
        <v>96</v>
      </c>
      <c r="C1431" t="s">
        <v>96</v>
      </c>
      <c r="D1431" t="s">
        <v>37</v>
      </c>
      <c r="E1431" t="s">
        <v>38</v>
      </c>
      <c r="F1431" t="str">
        <f>"0001531"</f>
        <v>0001531</v>
      </c>
      <c r="G1431">
        <v>1</v>
      </c>
      <c r="H1431" t="str">
        <f>"00000000"</f>
        <v>00000000</v>
      </c>
      <c r="I1431" t="s">
        <v>39</v>
      </c>
      <c r="J1431"/>
      <c r="K1431">
        <v>398.31</v>
      </c>
      <c r="L1431">
        <v>0.0</v>
      </c>
      <c r="M1431"/>
      <c r="N1431"/>
      <c r="O1431">
        <v>71.69</v>
      </c>
      <c r="P1431">
        <v>0.0</v>
      </c>
      <c r="Q1431">
        <v>470.0</v>
      </c>
      <c r="R1431"/>
      <c r="S1431"/>
      <c r="T1431"/>
      <c r="U1431"/>
      <c r="V1431"/>
      <c r="W1431">
        <v>18</v>
      </c>
    </row>
    <row r="1432" spans="1:23">
      <c r="A1432"/>
      <c r="B1432" t="s">
        <v>96</v>
      </c>
      <c r="C1432" t="s">
        <v>96</v>
      </c>
      <c r="D1432" t="s">
        <v>37</v>
      </c>
      <c r="E1432" t="s">
        <v>38</v>
      </c>
      <c r="F1432" t="str">
        <f>"0001532"</f>
        <v>0001532</v>
      </c>
      <c r="G1432">
        <v>1</v>
      </c>
      <c r="H1432" t="str">
        <f>"00000000"</f>
        <v>00000000</v>
      </c>
      <c r="I1432" t="s">
        <v>39</v>
      </c>
      <c r="J1432"/>
      <c r="K1432">
        <v>635.59</v>
      </c>
      <c r="L1432">
        <v>0.0</v>
      </c>
      <c r="M1432"/>
      <c r="N1432"/>
      <c r="O1432">
        <v>114.41</v>
      </c>
      <c r="P1432">
        <v>0.0</v>
      </c>
      <c r="Q1432">
        <v>750.0</v>
      </c>
      <c r="R1432"/>
      <c r="S1432"/>
      <c r="T1432"/>
      <c r="U1432"/>
      <c r="V1432"/>
      <c r="W1432">
        <v>18</v>
      </c>
    </row>
    <row r="1433" spans="1:23">
      <c r="A1433"/>
      <c r="B1433" t="s">
        <v>96</v>
      </c>
      <c r="C1433" t="s">
        <v>96</v>
      </c>
      <c r="D1433" t="s">
        <v>37</v>
      </c>
      <c r="E1433" t="s">
        <v>38</v>
      </c>
      <c r="F1433" t="str">
        <f>"0001533"</f>
        <v>0001533</v>
      </c>
      <c r="G1433">
        <v>1</v>
      </c>
      <c r="H1433" t="str">
        <f>"00000000"</f>
        <v>00000000</v>
      </c>
      <c r="I1433" t="s">
        <v>39</v>
      </c>
      <c r="J1433"/>
      <c r="K1433">
        <v>296.61</v>
      </c>
      <c r="L1433">
        <v>0.0</v>
      </c>
      <c r="M1433"/>
      <c r="N1433"/>
      <c r="O1433">
        <v>53.39</v>
      </c>
      <c r="P1433">
        <v>0.0</v>
      </c>
      <c r="Q1433">
        <v>350.0</v>
      </c>
      <c r="R1433"/>
      <c r="S1433"/>
      <c r="T1433"/>
      <c r="U1433"/>
      <c r="V1433"/>
      <c r="W1433">
        <v>18</v>
      </c>
    </row>
    <row r="1434" spans="1:23">
      <c r="A1434"/>
      <c r="B1434" t="s">
        <v>96</v>
      </c>
      <c r="C1434" t="s">
        <v>96</v>
      </c>
      <c r="D1434" t="s">
        <v>37</v>
      </c>
      <c r="E1434" t="s">
        <v>38</v>
      </c>
      <c r="F1434" t="str">
        <f>"0001534"</f>
        <v>0001534</v>
      </c>
      <c r="G1434">
        <v>1</v>
      </c>
      <c r="H1434" t="str">
        <f>"00000000"</f>
        <v>00000000</v>
      </c>
      <c r="I1434" t="s">
        <v>39</v>
      </c>
      <c r="J1434"/>
      <c r="K1434">
        <v>389.83</v>
      </c>
      <c r="L1434">
        <v>0.0</v>
      </c>
      <c r="M1434"/>
      <c r="N1434"/>
      <c r="O1434">
        <v>70.17</v>
      </c>
      <c r="P1434">
        <v>0.0</v>
      </c>
      <c r="Q1434">
        <v>460.0</v>
      </c>
      <c r="R1434"/>
      <c r="S1434"/>
      <c r="T1434"/>
      <c r="U1434"/>
      <c r="V1434"/>
      <c r="W1434">
        <v>18</v>
      </c>
    </row>
    <row r="1435" spans="1:23">
      <c r="A1435"/>
      <c r="B1435" t="s">
        <v>96</v>
      </c>
      <c r="C1435" t="s">
        <v>96</v>
      </c>
      <c r="D1435" t="s">
        <v>37</v>
      </c>
      <c r="E1435" t="s">
        <v>38</v>
      </c>
      <c r="F1435" t="str">
        <f>"0001535"</f>
        <v>0001535</v>
      </c>
      <c r="G1435">
        <v>1</v>
      </c>
      <c r="H1435" t="str">
        <f>"00000000"</f>
        <v>00000000</v>
      </c>
      <c r="I1435" t="s">
        <v>39</v>
      </c>
      <c r="J1435"/>
      <c r="K1435">
        <v>343.22</v>
      </c>
      <c r="L1435">
        <v>0.0</v>
      </c>
      <c r="M1435"/>
      <c r="N1435"/>
      <c r="O1435">
        <v>61.78</v>
      </c>
      <c r="P1435">
        <v>0.0</v>
      </c>
      <c r="Q1435">
        <v>405.0</v>
      </c>
      <c r="R1435"/>
      <c r="S1435"/>
      <c r="T1435"/>
      <c r="U1435"/>
      <c r="V1435"/>
      <c r="W1435">
        <v>18</v>
      </c>
    </row>
    <row r="1436" spans="1:23">
      <c r="A1436"/>
      <c r="B1436" t="s">
        <v>96</v>
      </c>
      <c r="C1436" t="s">
        <v>96</v>
      </c>
      <c r="D1436" t="s">
        <v>37</v>
      </c>
      <c r="E1436" t="s">
        <v>38</v>
      </c>
      <c r="F1436" t="str">
        <f>"0001536"</f>
        <v>0001536</v>
      </c>
      <c r="G1436">
        <v>1</v>
      </c>
      <c r="H1436" t="str">
        <f>"00000000"</f>
        <v>00000000</v>
      </c>
      <c r="I1436" t="s">
        <v>39</v>
      </c>
      <c r="J1436"/>
      <c r="K1436">
        <v>381.36</v>
      </c>
      <c r="L1436">
        <v>0.0</v>
      </c>
      <c r="M1436"/>
      <c r="N1436"/>
      <c r="O1436">
        <v>68.64</v>
      </c>
      <c r="P1436">
        <v>0.0</v>
      </c>
      <c r="Q1436">
        <v>450.0</v>
      </c>
      <c r="R1436"/>
      <c r="S1436"/>
      <c r="T1436"/>
      <c r="U1436"/>
      <c r="V1436"/>
      <c r="W1436">
        <v>18</v>
      </c>
    </row>
    <row r="1437" spans="1:23">
      <c r="A1437"/>
      <c r="B1437" t="s">
        <v>96</v>
      </c>
      <c r="C1437" t="s">
        <v>96</v>
      </c>
      <c r="D1437" t="s">
        <v>37</v>
      </c>
      <c r="E1437" t="s">
        <v>38</v>
      </c>
      <c r="F1437" t="str">
        <f>"0001537"</f>
        <v>0001537</v>
      </c>
      <c r="G1437">
        <v>1</v>
      </c>
      <c r="H1437" t="str">
        <f>"00000000"</f>
        <v>00000000</v>
      </c>
      <c r="I1437" t="s">
        <v>39</v>
      </c>
      <c r="J1437"/>
      <c r="K1437">
        <v>296.61</v>
      </c>
      <c r="L1437">
        <v>0.0</v>
      </c>
      <c r="M1437"/>
      <c r="N1437"/>
      <c r="O1437">
        <v>53.39</v>
      </c>
      <c r="P1437">
        <v>0.0</v>
      </c>
      <c r="Q1437">
        <v>350.0</v>
      </c>
      <c r="R1437"/>
      <c r="S1437"/>
      <c r="T1437"/>
      <c r="U1437"/>
      <c r="V1437"/>
      <c r="W1437">
        <v>18</v>
      </c>
    </row>
    <row r="1438" spans="1:23">
      <c r="A1438"/>
      <c r="B1438" t="s">
        <v>96</v>
      </c>
      <c r="C1438" t="s">
        <v>96</v>
      </c>
      <c r="D1438" t="s">
        <v>37</v>
      </c>
      <c r="E1438" t="s">
        <v>38</v>
      </c>
      <c r="F1438" t="str">
        <f>"0001538"</f>
        <v>0001538</v>
      </c>
      <c r="G1438">
        <v>1</v>
      </c>
      <c r="H1438" t="str">
        <f>"00000000"</f>
        <v>00000000</v>
      </c>
      <c r="I1438" t="s">
        <v>39</v>
      </c>
      <c r="J1438"/>
      <c r="K1438">
        <v>381.36</v>
      </c>
      <c r="L1438">
        <v>0.0</v>
      </c>
      <c r="M1438"/>
      <c r="N1438"/>
      <c r="O1438">
        <v>68.64</v>
      </c>
      <c r="P1438">
        <v>0.0</v>
      </c>
      <c r="Q1438">
        <v>450.0</v>
      </c>
      <c r="R1438"/>
      <c r="S1438"/>
      <c r="T1438"/>
      <c r="U1438"/>
      <c r="V1438"/>
      <c r="W1438">
        <v>18</v>
      </c>
    </row>
    <row r="1439" spans="1:23">
      <c r="A1439"/>
      <c r="B1439" t="s">
        <v>96</v>
      </c>
      <c r="C1439" t="s">
        <v>96</v>
      </c>
      <c r="D1439" t="s">
        <v>37</v>
      </c>
      <c r="E1439" t="s">
        <v>38</v>
      </c>
      <c r="F1439" t="str">
        <f>"0001539"</f>
        <v>0001539</v>
      </c>
      <c r="G1439">
        <v>1</v>
      </c>
      <c r="H1439" t="str">
        <f>"00000000"</f>
        <v>00000000</v>
      </c>
      <c r="I1439" t="s">
        <v>39</v>
      </c>
      <c r="J1439"/>
      <c r="K1439">
        <v>389.83</v>
      </c>
      <c r="L1439">
        <v>0.0</v>
      </c>
      <c r="M1439"/>
      <c r="N1439"/>
      <c r="O1439">
        <v>70.17</v>
      </c>
      <c r="P1439">
        <v>0.0</v>
      </c>
      <c r="Q1439">
        <v>460.0</v>
      </c>
      <c r="R1439"/>
      <c r="S1439"/>
      <c r="T1439"/>
      <c r="U1439"/>
      <c r="V1439"/>
      <c r="W1439">
        <v>18</v>
      </c>
    </row>
    <row r="1440" spans="1:23">
      <c r="A1440"/>
      <c r="B1440" t="s">
        <v>96</v>
      </c>
      <c r="C1440" t="s">
        <v>96</v>
      </c>
      <c r="D1440" t="s">
        <v>37</v>
      </c>
      <c r="E1440" t="s">
        <v>38</v>
      </c>
      <c r="F1440" t="str">
        <f>"0001540"</f>
        <v>0001540</v>
      </c>
      <c r="G1440">
        <v>1</v>
      </c>
      <c r="H1440" t="str">
        <f>"00000000"</f>
        <v>00000000</v>
      </c>
      <c r="I1440" t="s">
        <v>39</v>
      </c>
      <c r="J1440"/>
      <c r="K1440">
        <v>389.83</v>
      </c>
      <c r="L1440">
        <v>0.0</v>
      </c>
      <c r="M1440"/>
      <c r="N1440"/>
      <c r="O1440">
        <v>70.17</v>
      </c>
      <c r="P1440">
        <v>0.0</v>
      </c>
      <c r="Q1440">
        <v>460.0</v>
      </c>
      <c r="R1440"/>
      <c r="S1440"/>
      <c r="T1440"/>
      <c r="U1440"/>
      <c r="V1440"/>
      <c r="W1440">
        <v>18</v>
      </c>
    </row>
    <row r="1441" spans="1:23">
      <c r="A1441"/>
      <c r="B1441" t="s">
        <v>96</v>
      </c>
      <c r="C1441" t="s">
        <v>96</v>
      </c>
      <c r="D1441" t="s">
        <v>37</v>
      </c>
      <c r="E1441" t="s">
        <v>38</v>
      </c>
      <c r="F1441" t="str">
        <f>"0001541"</f>
        <v>0001541</v>
      </c>
      <c r="G1441">
        <v>1</v>
      </c>
      <c r="H1441" t="str">
        <f>"00000000"</f>
        <v>00000000</v>
      </c>
      <c r="I1441" t="s">
        <v>39</v>
      </c>
      <c r="J1441"/>
      <c r="K1441">
        <v>355.93</v>
      </c>
      <c r="L1441">
        <v>0.0</v>
      </c>
      <c r="M1441"/>
      <c r="N1441"/>
      <c r="O1441">
        <v>64.07</v>
      </c>
      <c r="P1441">
        <v>0.0</v>
      </c>
      <c r="Q1441">
        <v>420.0</v>
      </c>
      <c r="R1441"/>
      <c r="S1441"/>
      <c r="T1441"/>
      <c r="U1441"/>
      <c r="V1441"/>
      <c r="W1441">
        <v>18</v>
      </c>
    </row>
    <row r="1442" spans="1:23">
      <c r="A1442"/>
      <c r="B1442" t="s">
        <v>96</v>
      </c>
      <c r="C1442" t="s">
        <v>96</v>
      </c>
      <c r="D1442" t="s">
        <v>37</v>
      </c>
      <c r="E1442" t="s">
        <v>38</v>
      </c>
      <c r="F1442" t="str">
        <f>"0001542"</f>
        <v>0001542</v>
      </c>
      <c r="G1442">
        <v>1</v>
      </c>
      <c r="H1442" t="str">
        <f>"00000000"</f>
        <v>00000000</v>
      </c>
      <c r="I1442" t="s">
        <v>39</v>
      </c>
      <c r="J1442"/>
      <c r="K1442">
        <v>423.73</v>
      </c>
      <c r="L1442">
        <v>0.0</v>
      </c>
      <c r="M1442"/>
      <c r="N1442"/>
      <c r="O1442">
        <v>76.27</v>
      </c>
      <c r="P1442">
        <v>0.0</v>
      </c>
      <c r="Q1442">
        <v>500.0</v>
      </c>
      <c r="R1442"/>
      <c r="S1442"/>
      <c r="T1442"/>
      <c r="U1442"/>
      <c r="V1442"/>
      <c r="W1442">
        <v>18</v>
      </c>
    </row>
    <row r="1443" spans="1:23">
      <c r="A1443"/>
      <c r="B1443" t="s">
        <v>96</v>
      </c>
      <c r="C1443" t="s">
        <v>96</v>
      </c>
      <c r="D1443" t="s">
        <v>37</v>
      </c>
      <c r="E1443" t="s">
        <v>38</v>
      </c>
      <c r="F1443" t="str">
        <f>"0001543"</f>
        <v>0001543</v>
      </c>
      <c r="G1443">
        <v>1</v>
      </c>
      <c r="H1443" t="str">
        <f>"00000000"</f>
        <v>00000000</v>
      </c>
      <c r="I1443" t="s">
        <v>39</v>
      </c>
      <c r="J1443"/>
      <c r="K1443">
        <v>381.36</v>
      </c>
      <c r="L1443">
        <v>0.0</v>
      </c>
      <c r="M1443"/>
      <c r="N1443"/>
      <c r="O1443">
        <v>68.64</v>
      </c>
      <c r="P1443">
        <v>0.0</v>
      </c>
      <c r="Q1443">
        <v>450.0</v>
      </c>
      <c r="R1443"/>
      <c r="S1443"/>
      <c r="T1443"/>
      <c r="U1443"/>
      <c r="V1443"/>
      <c r="W1443">
        <v>18</v>
      </c>
    </row>
    <row r="1444" spans="1:23">
      <c r="A1444"/>
      <c r="B1444" t="s">
        <v>96</v>
      </c>
      <c r="C1444" t="s">
        <v>96</v>
      </c>
      <c r="D1444" t="s">
        <v>37</v>
      </c>
      <c r="E1444" t="s">
        <v>38</v>
      </c>
      <c r="F1444" t="str">
        <f>"0001544"</f>
        <v>0001544</v>
      </c>
      <c r="G1444">
        <v>1</v>
      </c>
      <c r="H1444" t="str">
        <f>"00000000"</f>
        <v>00000000</v>
      </c>
      <c r="I1444" t="s">
        <v>39</v>
      </c>
      <c r="J1444"/>
      <c r="K1444">
        <v>406.78</v>
      </c>
      <c r="L1444">
        <v>0.0</v>
      </c>
      <c r="M1444"/>
      <c r="N1444"/>
      <c r="O1444">
        <v>73.22</v>
      </c>
      <c r="P1444">
        <v>0.0</v>
      </c>
      <c r="Q1444">
        <v>480.0</v>
      </c>
      <c r="R1444"/>
      <c r="S1444"/>
      <c r="T1444"/>
      <c r="U1444"/>
      <c r="V1444"/>
      <c r="W1444">
        <v>18</v>
      </c>
    </row>
    <row r="1445" spans="1:23">
      <c r="A1445"/>
      <c r="B1445" t="s">
        <v>96</v>
      </c>
      <c r="C1445" t="s">
        <v>96</v>
      </c>
      <c r="D1445" t="s">
        <v>37</v>
      </c>
      <c r="E1445" t="s">
        <v>38</v>
      </c>
      <c r="F1445" t="str">
        <f>"0001545"</f>
        <v>0001545</v>
      </c>
      <c r="G1445">
        <v>1</v>
      </c>
      <c r="H1445" t="str">
        <f>"00000000"</f>
        <v>00000000</v>
      </c>
      <c r="I1445" t="s">
        <v>39</v>
      </c>
      <c r="J1445"/>
      <c r="K1445">
        <v>355.93</v>
      </c>
      <c r="L1445">
        <v>0.0</v>
      </c>
      <c r="M1445"/>
      <c r="N1445"/>
      <c r="O1445">
        <v>64.07</v>
      </c>
      <c r="P1445">
        <v>0.0</v>
      </c>
      <c r="Q1445">
        <v>420.0</v>
      </c>
      <c r="R1445"/>
      <c r="S1445"/>
      <c r="T1445"/>
      <c r="U1445"/>
      <c r="V1445"/>
      <c r="W1445">
        <v>18</v>
      </c>
    </row>
    <row r="1446" spans="1:23">
      <c r="A1446"/>
      <c r="B1446" t="s">
        <v>96</v>
      </c>
      <c r="C1446" t="s">
        <v>96</v>
      </c>
      <c r="D1446" t="s">
        <v>37</v>
      </c>
      <c r="E1446" t="s">
        <v>38</v>
      </c>
      <c r="F1446" t="str">
        <f>"0001546"</f>
        <v>0001546</v>
      </c>
      <c r="G1446">
        <v>1</v>
      </c>
      <c r="H1446" t="str">
        <f>"00000000"</f>
        <v>00000000</v>
      </c>
      <c r="I1446" t="s">
        <v>39</v>
      </c>
      <c r="J1446"/>
      <c r="K1446">
        <v>355.93</v>
      </c>
      <c r="L1446">
        <v>0.0</v>
      </c>
      <c r="M1446"/>
      <c r="N1446"/>
      <c r="O1446">
        <v>64.07</v>
      </c>
      <c r="P1446">
        <v>0.0</v>
      </c>
      <c r="Q1446">
        <v>420.0</v>
      </c>
      <c r="R1446"/>
      <c r="S1446"/>
      <c r="T1446"/>
      <c r="U1446"/>
      <c r="V1446"/>
      <c r="W1446">
        <v>18</v>
      </c>
    </row>
    <row r="1447" spans="1:23">
      <c r="A1447"/>
      <c r="B1447" t="s">
        <v>96</v>
      </c>
      <c r="C1447" t="s">
        <v>96</v>
      </c>
      <c r="D1447" t="s">
        <v>37</v>
      </c>
      <c r="E1447" t="s">
        <v>38</v>
      </c>
      <c r="F1447" t="str">
        <f>"0001547"</f>
        <v>0001547</v>
      </c>
      <c r="G1447">
        <v>1</v>
      </c>
      <c r="H1447" t="str">
        <f>"00000000"</f>
        <v>00000000</v>
      </c>
      <c r="I1447" t="s">
        <v>39</v>
      </c>
      <c r="J1447"/>
      <c r="K1447">
        <v>381.36</v>
      </c>
      <c r="L1447">
        <v>0.0</v>
      </c>
      <c r="M1447"/>
      <c r="N1447"/>
      <c r="O1447">
        <v>68.64</v>
      </c>
      <c r="P1447">
        <v>0.0</v>
      </c>
      <c r="Q1447">
        <v>450.0</v>
      </c>
      <c r="R1447"/>
      <c r="S1447"/>
      <c r="T1447"/>
      <c r="U1447"/>
      <c r="V1447"/>
      <c r="W1447">
        <v>18</v>
      </c>
    </row>
    <row r="1448" spans="1:23">
      <c r="A1448"/>
      <c r="B1448" t="s">
        <v>96</v>
      </c>
      <c r="C1448" t="s">
        <v>96</v>
      </c>
      <c r="D1448" t="s">
        <v>37</v>
      </c>
      <c r="E1448" t="s">
        <v>38</v>
      </c>
      <c r="F1448" t="str">
        <f>"0001548"</f>
        <v>0001548</v>
      </c>
      <c r="G1448">
        <v>1</v>
      </c>
      <c r="H1448" t="str">
        <f>"00000000"</f>
        <v>00000000</v>
      </c>
      <c r="I1448" t="s">
        <v>39</v>
      </c>
      <c r="J1448"/>
      <c r="K1448">
        <v>423.73</v>
      </c>
      <c r="L1448">
        <v>0.0</v>
      </c>
      <c r="M1448"/>
      <c r="N1448"/>
      <c r="O1448">
        <v>76.27</v>
      </c>
      <c r="P1448">
        <v>0.0</v>
      </c>
      <c r="Q1448">
        <v>500.0</v>
      </c>
      <c r="R1448"/>
      <c r="S1448"/>
      <c r="T1448"/>
      <c r="U1448"/>
      <c r="V1448"/>
      <c r="W1448">
        <v>18</v>
      </c>
    </row>
    <row r="1449" spans="1:23">
      <c r="A1449"/>
      <c r="B1449" t="s">
        <v>96</v>
      </c>
      <c r="C1449" t="s">
        <v>96</v>
      </c>
      <c r="D1449" t="s">
        <v>37</v>
      </c>
      <c r="E1449" t="s">
        <v>38</v>
      </c>
      <c r="F1449" t="str">
        <f>"0001549"</f>
        <v>0001549</v>
      </c>
      <c r="G1449">
        <v>1</v>
      </c>
      <c r="H1449" t="str">
        <f>"00000000"</f>
        <v>00000000</v>
      </c>
      <c r="I1449" t="s">
        <v>39</v>
      </c>
      <c r="J1449"/>
      <c r="K1449">
        <v>305.08</v>
      </c>
      <c r="L1449">
        <v>0.0</v>
      </c>
      <c r="M1449"/>
      <c r="N1449"/>
      <c r="O1449">
        <v>54.92</v>
      </c>
      <c r="P1449">
        <v>0.0</v>
      </c>
      <c r="Q1449">
        <v>360.0</v>
      </c>
      <c r="R1449"/>
      <c r="S1449"/>
      <c r="T1449"/>
      <c r="U1449"/>
      <c r="V1449"/>
      <c r="W1449">
        <v>18</v>
      </c>
    </row>
    <row r="1450" spans="1:23">
      <c r="A1450"/>
      <c r="B1450" t="s">
        <v>96</v>
      </c>
      <c r="C1450" t="s">
        <v>96</v>
      </c>
      <c r="D1450" t="s">
        <v>37</v>
      </c>
      <c r="E1450" t="s">
        <v>38</v>
      </c>
      <c r="F1450" t="str">
        <f>"0001550"</f>
        <v>0001550</v>
      </c>
      <c r="G1450">
        <v>1</v>
      </c>
      <c r="H1450" t="str">
        <f>"00000000"</f>
        <v>00000000</v>
      </c>
      <c r="I1450" t="s">
        <v>39</v>
      </c>
      <c r="J1450"/>
      <c r="K1450">
        <v>381.36</v>
      </c>
      <c r="L1450">
        <v>0.0</v>
      </c>
      <c r="M1450"/>
      <c r="N1450"/>
      <c r="O1450">
        <v>68.64</v>
      </c>
      <c r="P1450">
        <v>0.0</v>
      </c>
      <c r="Q1450">
        <v>450.0</v>
      </c>
      <c r="R1450"/>
      <c r="S1450"/>
      <c r="T1450"/>
      <c r="U1450"/>
      <c r="V1450"/>
      <c r="W1450">
        <v>18</v>
      </c>
    </row>
    <row r="1451" spans="1:23">
      <c r="A1451"/>
      <c r="B1451" t="s">
        <v>96</v>
      </c>
      <c r="C1451" t="s">
        <v>96</v>
      </c>
      <c r="D1451" t="s">
        <v>37</v>
      </c>
      <c r="E1451" t="s">
        <v>38</v>
      </c>
      <c r="F1451" t="str">
        <f>"0001551"</f>
        <v>0001551</v>
      </c>
      <c r="G1451">
        <v>1</v>
      </c>
      <c r="H1451" t="str">
        <f>"00000000"</f>
        <v>00000000</v>
      </c>
      <c r="I1451" t="s">
        <v>39</v>
      </c>
      <c r="J1451"/>
      <c r="K1451">
        <v>381.36</v>
      </c>
      <c r="L1451">
        <v>0.0</v>
      </c>
      <c r="M1451"/>
      <c r="N1451"/>
      <c r="O1451">
        <v>68.64</v>
      </c>
      <c r="P1451">
        <v>0.0</v>
      </c>
      <c r="Q1451">
        <v>450.0</v>
      </c>
      <c r="R1451"/>
      <c r="S1451"/>
      <c r="T1451"/>
      <c r="U1451"/>
      <c r="V1451"/>
      <c r="W1451">
        <v>18</v>
      </c>
    </row>
    <row r="1452" spans="1:23">
      <c r="A1452"/>
      <c r="B1452" t="s">
        <v>96</v>
      </c>
      <c r="C1452" t="s">
        <v>96</v>
      </c>
      <c r="D1452" t="s">
        <v>37</v>
      </c>
      <c r="E1452" t="s">
        <v>38</v>
      </c>
      <c r="F1452" t="str">
        <f>"0001552"</f>
        <v>0001552</v>
      </c>
      <c r="G1452">
        <v>1</v>
      </c>
      <c r="H1452" t="str">
        <f>"00000000"</f>
        <v>00000000</v>
      </c>
      <c r="I1452" t="s">
        <v>39</v>
      </c>
      <c r="J1452"/>
      <c r="K1452">
        <v>317.8</v>
      </c>
      <c r="L1452">
        <v>0.0</v>
      </c>
      <c r="M1452"/>
      <c r="N1452"/>
      <c r="O1452">
        <v>57.2</v>
      </c>
      <c r="P1452">
        <v>0.0</v>
      </c>
      <c r="Q1452">
        <v>375.0</v>
      </c>
      <c r="R1452"/>
      <c r="S1452"/>
      <c r="T1452"/>
      <c r="U1452"/>
      <c r="V1452"/>
      <c r="W1452">
        <v>18</v>
      </c>
    </row>
    <row r="1453" spans="1:23">
      <c r="A1453"/>
      <c r="B1453" t="s">
        <v>96</v>
      </c>
      <c r="C1453" t="s">
        <v>96</v>
      </c>
      <c r="D1453" t="s">
        <v>37</v>
      </c>
      <c r="E1453" t="s">
        <v>38</v>
      </c>
      <c r="F1453" t="str">
        <f>"0001553"</f>
        <v>0001553</v>
      </c>
      <c r="G1453">
        <v>1</v>
      </c>
      <c r="H1453" t="str">
        <f>"00000000"</f>
        <v>00000000</v>
      </c>
      <c r="I1453" t="s">
        <v>39</v>
      </c>
      <c r="J1453"/>
      <c r="K1453">
        <v>381.36</v>
      </c>
      <c r="L1453">
        <v>0.0</v>
      </c>
      <c r="M1453"/>
      <c r="N1453"/>
      <c r="O1453">
        <v>68.64</v>
      </c>
      <c r="P1453">
        <v>0.0</v>
      </c>
      <c r="Q1453">
        <v>450.0</v>
      </c>
      <c r="R1453"/>
      <c r="S1453"/>
      <c r="T1453"/>
      <c r="U1453"/>
      <c r="V1453"/>
      <c r="W1453">
        <v>18</v>
      </c>
    </row>
    <row r="1454" spans="1:23">
      <c r="A1454"/>
      <c r="B1454" t="s">
        <v>96</v>
      </c>
      <c r="C1454" t="s">
        <v>96</v>
      </c>
      <c r="D1454" t="s">
        <v>37</v>
      </c>
      <c r="E1454" t="s">
        <v>38</v>
      </c>
      <c r="F1454" t="str">
        <f>"0001554"</f>
        <v>0001554</v>
      </c>
      <c r="G1454">
        <v>1</v>
      </c>
      <c r="H1454" t="str">
        <f>"00000000"</f>
        <v>00000000</v>
      </c>
      <c r="I1454" t="s">
        <v>39</v>
      </c>
      <c r="J1454"/>
      <c r="K1454">
        <v>338.98</v>
      </c>
      <c r="L1454">
        <v>0.0</v>
      </c>
      <c r="M1454"/>
      <c r="N1454"/>
      <c r="O1454">
        <v>61.02</v>
      </c>
      <c r="P1454">
        <v>0.0</v>
      </c>
      <c r="Q1454">
        <v>400.0</v>
      </c>
      <c r="R1454"/>
      <c r="S1454"/>
      <c r="T1454"/>
      <c r="U1454"/>
      <c r="V1454"/>
      <c r="W1454">
        <v>18</v>
      </c>
    </row>
    <row r="1455" spans="1:23">
      <c r="A1455"/>
      <c r="B1455" t="s">
        <v>96</v>
      </c>
      <c r="C1455" t="s">
        <v>96</v>
      </c>
      <c r="D1455" t="s">
        <v>37</v>
      </c>
      <c r="E1455" t="s">
        <v>38</v>
      </c>
      <c r="F1455" t="str">
        <f>"0001555"</f>
        <v>0001555</v>
      </c>
      <c r="G1455">
        <v>1</v>
      </c>
      <c r="H1455" t="str">
        <f>"00000000"</f>
        <v>00000000</v>
      </c>
      <c r="I1455" t="s">
        <v>39</v>
      </c>
      <c r="J1455"/>
      <c r="K1455">
        <v>254.24</v>
      </c>
      <c r="L1455">
        <v>0.0</v>
      </c>
      <c r="M1455"/>
      <c r="N1455"/>
      <c r="O1455">
        <v>45.76</v>
      </c>
      <c r="P1455">
        <v>0.0</v>
      </c>
      <c r="Q1455">
        <v>300.0</v>
      </c>
      <c r="R1455"/>
      <c r="S1455"/>
      <c r="T1455"/>
      <c r="U1455"/>
      <c r="V1455"/>
      <c r="W1455">
        <v>18</v>
      </c>
    </row>
    <row r="1456" spans="1:23">
      <c r="A1456"/>
      <c r="B1456" t="s">
        <v>96</v>
      </c>
      <c r="C1456" t="s">
        <v>96</v>
      </c>
      <c r="D1456" t="s">
        <v>37</v>
      </c>
      <c r="E1456" t="s">
        <v>38</v>
      </c>
      <c r="F1456" t="str">
        <f>"0001556"</f>
        <v>0001556</v>
      </c>
      <c r="G1456">
        <v>1</v>
      </c>
      <c r="H1456" t="str">
        <f>"00000000"</f>
        <v>00000000</v>
      </c>
      <c r="I1456" t="s">
        <v>39</v>
      </c>
      <c r="J1456"/>
      <c r="K1456">
        <v>237.29</v>
      </c>
      <c r="L1456">
        <v>0.0</v>
      </c>
      <c r="M1456"/>
      <c r="N1456"/>
      <c r="O1456">
        <v>42.71</v>
      </c>
      <c r="P1456">
        <v>0.0</v>
      </c>
      <c r="Q1456">
        <v>280.0</v>
      </c>
      <c r="R1456"/>
      <c r="S1456"/>
      <c r="T1456"/>
      <c r="U1456"/>
      <c r="V1456"/>
      <c r="W1456">
        <v>18</v>
      </c>
    </row>
    <row r="1457" spans="1:23">
      <c r="A1457"/>
      <c r="B1457" t="s">
        <v>96</v>
      </c>
      <c r="C1457" t="s">
        <v>96</v>
      </c>
      <c r="D1457" t="s">
        <v>37</v>
      </c>
      <c r="E1457" t="s">
        <v>38</v>
      </c>
      <c r="F1457" t="str">
        <f>"0001557"</f>
        <v>0001557</v>
      </c>
      <c r="G1457">
        <v>1</v>
      </c>
      <c r="H1457" t="str">
        <f>"00000000"</f>
        <v>00000000</v>
      </c>
      <c r="I1457" t="s">
        <v>39</v>
      </c>
      <c r="J1457"/>
      <c r="K1457">
        <v>211.86</v>
      </c>
      <c r="L1457">
        <v>0.0</v>
      </c>
      <c r="M1457"/>
      <c r="N1457"/>
      <c r="O1457">
        <v>38.14</v>
      </c>
      <c r="P1457">
        <v>0.0</v>
      </c>
      <c r="Q1457">
        <v>250.0</v>
      </c>
      <c r="R1457"/>
      <c r="S1457"/>
      <c r="T1457"/>
      <c r="U1457"/>
      <c r="V1457"/>
      <c r="W1457">
        <v>18</v>
      </c>
    </row>
    <row r="1458" spans="1:23">
      <c r="A1458"/>
      <c r="B1458" t="s">
        <v>96</v>
      </c>
      <c r="C1458" t="s">
        <v>96</v>
      </c>
      <c r="D1458" t="s">
        <v>37</v>
      </c>
      <c r="E1458" t="s">
        <v>38</v>
      </c>
      <c r="F1458" t="str">
        <f>"0001558"</f>
        <v>0001558</v>
      </c>
      <c r="G1458">
        <v>1</v>
      </c>
      <c r="H1458" t="str">
        <f>"00000000"</f>
        <v>00000000</v>
      </c>
      <c r="I1458" t="s">
        <v>39</v>
      </c>
      <c r="J1458"/>
      <c r="K1458">
        <v>372.88</v>
      </c>
      <c r="L1458">
        <v>0.0</v>
      </c>
      <c r="M1458"/>
      <c r="N1458"/>
      <c r="O1458">
        <v>67.12</v>
      </c>
      <c r="P1458">
        <v>0.0</v>
      </c>
      <c r="Q1458">
        <v>440.0</v>
      </c>
      <c r="R1458"/>
      <c r="S1458"/>
      <c r="T1458"/>
      <c r="U1458"/>
      <c r="V1458"/>
      <c r="W1458">
        <v>18</v>
      </c>
    </row>
    <row r="1459" spans="1:23">
      <c r="A1459"/>
      <c r="B1459" t="s">
        <v>96</v>
      </c>
      <c r="C1459" t="s">
        <v>96</v>
      </c>
      <c r="D1459" t="s">
        <v>37</v>
      </c>
      <c r="E1459" t="s">
        <v>38</v>
      </c>
      <c r="F1459" t="str">
        <f>"0001559"</f>
        <v>0001559</v>
      </c>
      <c r="G1459">
        <v>1</v>
      </c>
      <c r="H1459" t="str">
        <f>"00000000"</f>
        <v>00000000</v>
      </c>
      <c r="I1459" t="s">
        <v>39</v>
      </c>
      <c r="J1459"/>
      <c r="K1459">
        <v>406.78</v>
      </c>
      <c r="L1459">
        <v>0.0</v>
      </c>
      <c r="M1459"/>
      <c r="N1459"/>
      <c r="O1459">
        <v>73.22</v>
      </c>
      <c r="P1459">
        <v>0.0</v>
      </c>
      <c r="Q1459">
        <v>480.0</v>
      </c>
      <c r="R1459"/>
      <c r="S1459"/>
      <c r="T1459"/>
      <c r="U1459"/>
      <c r="V1459"/>
      <c r="W1459">
        <v>18</v>
      </c>
    </row>
    <row r="1460" spans="1:23">
      <c r="A1460"/>
      <c r="B1460" t="s">
        <v>96</v>
      </c>
      <c r="C1460" t="s">
        <v>96</v>
      </c>
      <c r="D1460" t="s">
        <v>37</v>
      </c>
      <c r="E1460" t="s">
        <v>38</v>
      </c>
      <c r="F1460" t="str">
        <f>"0001560"</f>
        <v>0001560</v>
      </c>
      <c r="G1460">
        <v>1</v>
      </c>
      <c r="H1460" t="str">
        <f>"00000000"</f>
        <v>00000000</v>
      </c>
      <c r="I1460" t="s">
        <v>39</v>
      </c>
      <c r="J1460"/>
      <c r="K1460">
        <v>406.78</v>
      </c>
      <c r="L1460">
        <v>0.0</v>
      </c>
      <c r="M1460"/>
      <c r="N1460"/>
      <c r="O1460">
        <v>73.22</v>
      </c>
      <c r="P1460">
        <v>0.0</v>
      </c>
      <c r="Q1460">
        <v>480.0</v>
      </c>
      <c r="R1460"/>
      <c r="S1460"/>
      <c r="T1460"/>
      <c r="U1460"/>
      <c r="V1460"/>
      <c r="W1460">
        <v>18</v>
      </c>
    </row>
    <row r="1461" spans="1:23">
      <c r="A1461"/>
      <c r="B1461" t="s">
        <v>96</v>
      </c>
      <c r="C1461" t="s">
        <v>96</v>
      </c>
      <c r="D1461" t="s">
        <v>37</v>
      </c>
      <c r="E1461" t="s">
        <v>38</v>
      </c>
      <c r="F1461" t="str">
        <f>"0001561"</f>
        <v>0001561</v>
      </c>
      <c r="G1461">
        <v>1</v>
      </c>
      <c r="H1461" t="str">
        <f>"00000000"</f>
        <v>00000000</v>
      </c>
      <c r="I1461" t="s">
        <v>39</v>
      </c>
      <c r="J1461"/>
      <c r="K1461">
        <v>338.98</v>
      </c>
      <c r="L1461">
        <v>0.0</v>
      </c>
      <c r="M1461"/>
      <c r="N1461"/>
      <c r="O1461">
        <v>61.02</v>
      </c>
      <c r="P1461">
        <v>0.0</v>
      </c>
      <c r="Q1461">
        <v>400.0</v>
      </c>
      <c r="R1461"/>
      <c r="S1461"/>
      <c r="T1461"/>
      <c r="U1461"/>
      <c r="V1461"/>
      <c r="W1461">
        <v>18</v>
      </c>
    </row>
    <row r="1462" spans="1:23">
      <c r="A1462"/>
      <c r="B1462" t="s">
        <v>96</v>
      </c>
      <c r="C1462" t="s">
        <v>96</v>
      </c>
      <c r="D1462" t="s">
        <v>37</v>
      </c>
      <c r="E1462" t="s">
        <v>38</v>
      </c>
      <c r="F1462" t="str">
        <f>"0001562"</f>
        <v>0001562</v>
      </c>
      <c r="G1462">
        <v>1</v>
      </c>
      <c r="H1462" t="str">
        <f>"00000000"</f>
        <v>00000000</v>
      </c>
      <c r="I1462" t="s">
        <v>39</v>
      </c>
      <c r="J1462"/>
      <c r="K1462">
        <v>305.08</v>
      </c>
      <c r="L1462">
        <v>0.0</v>
      </c>
      <c r="M1462"/>
      <c r="N1462"/>
      <c r="O1462">
        <v>54.92</v>
      </c>
      <c r="P1462">
        <v>0.0</v>
      </c>
      <c r="Q1462">
        <v>360.0</v>
      </c>
      <c r="R1462"/>
      <c r="S1462"/>
      <c r="T1462"/>
      <c r="U1462"/>
      <c r="V1462"/>
      <c r="W1462">
        <v>18</v>
      </c>
    </row>
    <row r="1463" spans="1:23">
      <c r="A1463"/>
      <c r="B1463" t="s">
        <v>96</v>
      </c>
      <c r="C1463" t="s">
        <v>96</v>
      </c>
      <c r="D1463" t="s">
        <v>37</v>
      </c>
      <c r="E1463" t="s">
        <v>38</v>
      </c>
      <c r="F1463" t="str">
        <f>"0001563"</f>
        <v>0001563</v>
      </c>
      <c r="G1463">
        <v>1</v>
      </c>
      <c r="H1463" t="str">
        <f>"00000000"</f>
        <v>00000000</v>
      </c>
      <c r="I1463" t="s">
        <v>39</v>
      </c>
      <c r="J1463"/>
      <c r="K1463">
        <v>338.98</v>
      </c>
      <c r="L1463">
        <v>0.0</v>
      </c>
      <c r="M1463"/>
      <c r="N1463"/>
      <c r="O1463">
        <v>61.02</v>
      </c>
      <c r="P1463">
        <v>0.0</v>
      </c>
      <c r="Q1463">
        <v>400.0</v>
      </c>
      <c r="R1463"/>
      <c r="S1463"/>
      <c r="T1463"/>
      <c r="U1463"/>
      <c r="V1463"/>
      <c r="W1463">
        <v>18</v>
      </c>
    </row>
    <row r="1464" spans="1:23">
      <c r="A1464"/>
      <c r="B1464" t="s">
        <v>96</v>
      </c>
      <c r="C1464" t="s">
        <v>96</v>
      </c>
      <c r="D1464" t="s">
        <v>37</v>
      </c>
      <c r="E1464" t="s">
        <v>38</v>
      </c>
      <c r="F1464" t="str">
        <f>"0001564"</f>
        <v>0001564</v>
      </c>
      <c r="G1464">
        <v>1</v>
      </c>
      <c r="H1464" t="str">
        <f>"00000000"</f>
        <v>00000000</v>
      </c>
      <c r="I1464" t="s">
        <v>39</v>
      </c>
      <c r="J1464"/>
      <c r="K1464">
        <v>372.88</v>
      </c>
      <c r="L1464">
        <v>0.0</v>
      </c>
      <c r="M1464"/>
      <c r="N1464"/>
      <c r="O1464">
        <v>67.12</v>
      </c>
      <c r="P1464">
        <v>0.0</v>
      </c>
      <c r="Q1464">
        <v>440.0</v>
      </c>
      <c r="R1464"/>
      <c r="S1464"/>
      <c r="T1464"/>
      <c r="U1464"/>
      <c r="V1464"/>
      <c r="W1464">
        <v>18</v>
      </c>
    </row>
    <row r="1465" spans="1:23">
      <c r="A1465"/>
      <c r="B1465" t="s">
        <v>96</v>
      </c>
      <c r="C1465" t="s">
        <v>96</v>
      </c>
      <c r="D1465" t="s">
        <v>37</v>
      </c>
      <c r="E1465" t="s">
        <v>38</v>
      </c>
      <c r="F1465" t="str">
        <f>"0001565"</f>
        <v>0001565</v>
      </c>
      <c r="G1465">
        <v>1</v>
      </c>
      <c r="H1465" t="str">
        <f>"00000000"</f>
        <v>00000000</v>
      </c>
      <c r="I1465" t="s">
        <v>39</v>
      </c>
      <c r="J1465"/>
      <c r="K1465">
        <v>406.78</v>
      </c>
      <c r="L1465">
        <v>0.0</v>
      </c>
      <c r="M1465"/>
      <c r="N1465"/>
      <c r="O1465">
        <v>73.22</v>
      </c>
      <c r="P1465">
        <v>0.0</v>
      </c>
      <c r="Q1465">
        <v>480.0</v>
      </c>
      <c r="R1465"/>
      <c r="S1465"/>
      <c r="T1465"/>
      <c r="U1465"/>
      <c r="V1465"/>
      <c r="W1465">
        <v>18</v>
      </c>
    </row>
    <row r="1466" spans="1:23">
      <c r="A1466"/>
      <c r="B1466" t="s">
        <v>96</v>
      </c>
      <c r="C1466" t="s">
        <v>96</v>
      </c>
      <c r="D1466" t="s">
        <v>37</v>
      </c>
      <c r="E1466" t="s">
        <v>38</v>
      </c>
      <c r="F1466" t="str">
        <f>"0001566"</f>
        <v>0001566</v>
      </c>
      <c r="G1466">
        <v>1</v>
      </c>
      <c r="H1466" t="str">
        <f>"00000000"</f>
        <v>00000000</v>
      </c>
      <c r="I1466" t="s">
        <v>39</v>
      </c>
      <c r="J1466"/>
      <c r="K1466">
        <v>254.24</v>
      </c>
      <c r="L1466">
        <v>0.0</v>
      </c>
      <c r="M1466"/>
      <c r="N1466"/>
      <c r="O1466">
        <v>45.76</v>
      </c>
      <c r="P1466">
        <v>0.0</v>
      </c>
      <c r="Q1466">
        <v>300.0</v>
      </c>
      <c r="R1466"/>
      <c r="S1466"/>
      <c r="T1466"/>
      <c r="U1466"/>
      <c r="V1466"/>
      <c r="W1466">
        <v>18</v>
      </c>
    </row>
    <row r="1467" spans="1:23">
      <c r="A1467"/>
      <c r="B1467" t="s">
        <v>96</v>
      </c>
      <c r="C1467" t="s">
        <v>96</v>
      </c>
      <c r="D1467" t="s">
        <v>37</v>
      </c>
      <c r="E1467" t="s">
        <v>38</v>
      </c>
      <c r="F1467" t="str">
        <f>"0001567"</f>
        <v>0001567</v>
      </c>
      <c r="G1467">
        <v>1</v>
      </c>
      <c r="H1467" t="str">
        <f>"00000000"</f>
        <v>00000000</v>
      </c>
      <c r="I1467" t="s">
        <v>39</v>
      </c>
      <c r="J1467"/>
      <c r="K1467">
        <v>381.36</v>
      </c>
      <c r="L1467">
        <v>0.0</v>
      </c>
      <c r="M1467"/>
      <c r="N1467"/>
      <c r="O1467">
        <v>68.64</v>
      </c>
      <c r="P1467">
        <v>0.0</v>
      </c>
      <c r="Q1467">
        <v>450.0</v>
      </c>
      <c r="R1467"/>
      <c r="S1467"/>
      <c r="T1467"/>
      <c r="U1467"/>
      <c r="V1467"/>
      <c r="W1467">
        <v>18</v>
      </c>
    </row>
    <row r="1468" spans="1:23">
      <c r="A1468"/>
      <c r="B1468" t="s">
        <v>96</v>
      </c>
      <c r="C1468" t="s">
        <v>96</v>
      </c>
      <c r="D1468" t="s">
        <v>37</v>
      </c>
      <c r="E1468" t="s">
        <v>38</v>
      </c>
      <c r="F1468" t="str">
        <f>"0001568"</f>
        <v>0001568</v>
      </c>
      <c r="G1468">
        <v>1</v>
      </c>
      <c r="H1468" t="str">
        <f>"00000000"</f>
        <v>00000000</v>
      </c>
      <c r="I1468" t="s">
        <v>39</v>
      </c>
      <c r="J1468"/>
      <c r="K1468">
        <v>381.36</v>
      </c>
      <c r="L1468">
        <v>0.0</v>
      </c>
      <c r="M1468"/>
      <c r="N1468"/>
      <c r="O1468">
        <v>68.64</v>
      </c>
      <c r="P1468">
        <v>0.0</v>
      </c>
      <c r="Q1468">
        <v>450.0</v>
      </c>
      <c r="R1468"/>
      <c r="S1468"/>
      <c r="T1468"/>
      <c r="U1468"/>
      <c r="V1468"/>
      <c r="W1468">
        <v>18</v>
      </c>
    </row>
    <row r="1469" spans="1:23">
      <c r="A1469"/>
      <c r="B1469" t="s">
        <v>96</v>
      </c>
      <c r="C1469" t="s">
        <v>96</v>
      </c>
      <c r="D1469" t="s">
        <v>37</v>
      </c>
      <c r="E1469" t="s">
        <v>38</v>
      </c>
      <c r="F1469" t="str">
        <f>"0001569"</f>
        <v>0001569</v>
      </c>
      <c r="G1469">
        <v>1</v>
      </c>
      <c r="H1469" t="str">
        <f>"00000000"</f>
        <v>00000000</v>
      </c>
      <c r="I1469" t="s">
        <v>39</v>
      </c>
      <c r="J1469"/>
      <c r="K1469">
        <v>305.08</v>
      </c>
      <c r="L1469">
        <v>0.0</v>
      </c>
      <c r="M1469"/>
      <c r="N1469"/>
      <c r="O1469">
        <v>54.92</v>
      </c>
      <c r="P1469">
        <v>0.0</v>
      </c>
      <c r="Q1469">
        <v>360.0</v>
      </c>
      <c r="R1469"/>
      <c r="S1469"/>
      <c r="T1469"/>
      <c r="U1469"/>
      <c r="V1469"/>
      <c r="W1469">
        <v>18</v>
      </c>
    </row>
    <row r="1470" spans="1:23">
      <c r="A1470"/>
      <c r="B1470" t="s">
        <v>96</v>
      </c>
      <c r="C1470" t="s">
        <v>96</v>
      </c>
      <c r="D1470" t="s">
        <v>37</v>
      </c>
      <c r="E1470" t="s">
        <v>38</v>
      </c>
      <c r="F1470" t="str">
        <f>"0001570"</f>
        <v>0001570</v>
      </c>
      <c r="G1470">
        <v>1</v>
      </c>
      <c r="H1470" t="str">
        <f>"00000000"</f>
        <v>00000000</v>
      </c>
      <c r="I1470" t="s">
        <v>39</v>
      </c>
      <c r="J1470"/>
      <c r="K1470">
        <v>305.08</v>
      </c>
      <c r="L1470">
        <v>0.0</v>
      </c>
      <c r="M1470"/>
      <c r="N1470"/>
      <c r="O1470">
        <v>54.92</v>
      </c>
      <c r="P1470">
        <v>0.0</v>
      </c>
      <c r="Q1470">
        <v>360.0</v>
      </c>
      <c r="R1470"/>
      <c r="S1470"/>
      <c r="T1470"/>
      <c r="U1470"/>
      <c r="V1470"/>
      <c r="W1470">
        <v>18</v>
      </c>
    </row>
    <row r="1471" spans="1:23">
      <c r="A1471"/>
      <c r="B1471" t="s">
        <v>96</v>
      </c>
      <c r="C1471" t="s">
        <v>96</v>
      </c>
      <c r="D1471" t="s">
        <v>37</v>
      </c>
      <c r="E1471" t="s">
        <v>38</v>
      </c>
      <c r="F1471" t="str">
        <f>"0001571"</f>
        <v>0001571</v>
      </c>
      <c r="G1471">
        <v>1</v>
      </c>
      <c r="H1471" t="str">
        <f>"00000000"</f>
        <v>00000000</v>
      </c>
      <c r="I1471" t="s">
        <v>39</v>
      </c>
      <c r="J1471"/>
      <c r="K1471">
        <v>423.73</v>
      </c>
      <c r="L1471">
        <v>0.0</v>
      </c>
      <c r="M1471"/>
      <c r="N1471"/>
      <c r="O1471">
        <v>76.27</v>
      </c>
      <c r="P1471">
        <v>0.0</v>
      </c>
      <c r="Q1471">
        <v>500.0</v>
      </c>
      <c r="R1471"/>
      <c r="S1471"/>
      <c r="T1471"/>
      <c r="U1471"/>
      <c r="V1471"/>
      <c r="W1471">
        <v>18</v>
      </c>
    </row>
    <row r="1472" spans="1:23">
      <c r="A1472"/>
      <c r="B1472" t="s">
        <v>96</v>
      </c>
      <c r="C1472" t="s">
        <v>96</v>
      </c>
      <c r="D1472" t="s">
        <v>37</v>
      </c>
      <c r="E1472" t="s">
        <v>38</v>
      </c>
      <c r="F1472" t="str">
        <f>"0001572"</f>
        <v>0001572</v>
      </c>
      <c r="G1472">
        <v>1</v>
      </c>
      <c r="H1472" t="str">
        <f>"00000000"</f>
        <v>00000000</v>
      </c>
      <c r="I1472" t="s">
        <v>39</v>
      </c>
      <c r="J1472"/>
      <c r="K1472">
        <v>355.93</v>
      </c>
      <c r="L1472">
        <v>0.0</v>
      </c>
      <c r="M1472"/>
      <c r="N1472"/>
      <c r="O1472">
        <v>64.07</v>
      </c>
      <c r="P1472">
        <v>0.0</v>
      </c>
      <c r="Q1472">
        <v>420.0</v>
      </c>
      <c r="R1472"/>
      <c r="S1472"/>
      <c r="T1472"/>
      <c r="U1472"/>
      <c r="V1472"/>
      <c r="W1472">
        <v>18</v>
      </c>
    </row>
    <row r="1473" spans="1:23">
      <c r="A1473"/>
      <c r="B1473" t="s">
        <v>96</v>
      </c>
      <c r="C1473" t="s">
        <v>96</v>
      </c>
      <c r="D1473" t="s">
        <v>37</v>
      </c>
      <c r="E1473" t="s">
        <v>38</v>
      </c>
      <c r="F1473" t="str">
        <f>"0001573"</f>
        <v>0001573</v>
      </c>
      <c r="G1473">
        <v>1</v>
      </c>
      <c r="H1473" t="str">
        <f>"00000000"</f>
        <v>00000000</v>
      </c>
      <c r="I1473" t="s">
        <v>39</v>
      </c>
      <c r="J1473"/>
      <c r="K1473">
        <v>355.93</v>
      </c>
      <c r="L1473">
        <v>0.0</v>
      </c>
      <c r="M1473"/>
      <c r="N1473"/>
      <c r="O1473">
        <v>64.07</v>
      </c>
      <c r="P1473">
        <v>0.0</v>
      </c>
      <c r="Q1473">
        <v>420.0</v>
      </c>
      <c r="R1473"/>
      <c r="S1473"/>
      <c r="T1473"/>
      <c r="U1473"/>
      <c r="V1473"/>
      <c r="W1473">
        <v>18</v>
      </c>
    </row>
    <row r="1474" spans="1:23">
      <c r="A1474"/>
      <c r="B1474" t="s">
        <v>96</v>
      </c>
      <c r="C1474" t="s">
        <v>96</v>
      </c>
      <c r="D1474" t="s">
        <v>37</v>
      </c>
      <c r="E1474" t="s">
        <v>38</v>
      </c>
      <c r="F1474" t="str">
        <f>"0001574"</f>
        <v>0001574</v>
      </c>
      <c r="G1474">
        <v>1</v>
      </c>
      <c r="H1474" t="str">
        <f>"00000000"</f>
        <v>00000000</v>
      </c>
      <c r="I1474" t="s">
        <v>39</v>
      </c>
      <c r="J1474"/>
      <c r="K1474">
        <v>372.88</v>
      </c>
      <c r="L1474">
        <v>0.0</v>
      </c>
      <c r="M1474"/>
      <c r="N1474"/>
      <c r="O1474">
        <v>67.12</v>
      </c>
      <c r="P1474">
        <v>0.0</v>
      </c>
      <c r="Q1474">
        <v>440.0</v>
      </c>
      <c r="R1474"/>
      <c r="S1474"/>
      <c r="T1474"/>
      <c r="U1474"/>
      <c r="V1474"/>
      <c r="W1474">
        <v>18</v>
      </c>
    </row>
    <row r="1475" spans="1:23">
      <c r="A1475"/>
      <c r="B1475" t="s">
        <v>96</v>
      </c>
      <c r="C1475" t="s">
        <v>96</v>
      </c>
      <c r="D1475" t="s">
        <v>37</v>
      </c>
      <c r="E1475" t="s">
        <v>38</v>
      </c>
      <c r="F1475" t="str">
        <f>"0001575"</f>
        <v>0001575</v>
      </c>
      <c r="G1475">
        <v>1</v>
      </c>
      <c r="H1475" t="str">
        <f>"00000000"</f>
        <v>00000000</v>
      </c>
      <c r="I1475" t="s">
        <v>39</v>
      </c>
      <c r="J1475"/>
      <c r="K1475">
        <v>372.88</v>
      </c>
      <c r="L1475">
        <v>0.0</v>
      </c>
      <c r="M1475"/>
      <c r="N1475"/>
      <c r="O1475">
        <v>67.12</v>
      </c>
      <c r="P1475">
        <v>0.0</v>
      </c>
      <c r="Q1475">
        <v>440.0</v>
      </c>
      <c r="R1475"/>
      <c r="S1475"/>
      <c r="T1475"/>
      <c r="U1475"/>
      <c r="V1475"/>
      <c r="W1475">
        <v>18</v>
      </c>
    </row>
    <row r="1476" spans="1:23">
      <c r="A1476"/>
      <c r="B1476" t="s">
        <v>96</v>
      </c>
      <c r="C1476" t="s">
        <v>96</v>
      </c>
      <c r="D1476" t="s">
        <v>37</v>
      </c>
      <c r="E1476" t="s">
        <v>38</v>
      </c>
      <c r="F1476" t="str">
        <f>"0001576"</f>
        <v>0001576</v>
      </c>
      <c r="G1476">
        <v>1</v>
      </c>
      <c r="H1476" t="str">
        <f>"00000000"</f>
        <v>00000000</v>
      </c>
      <c r="I1476" t="s">
        <v>39</v>
      </c>
      <c r="J1476"/>
      <c r="K1476">
        <v>322.03</v>
      </c>
      <c r="L1476">
        <v>0.0</v>
      </c>
      <c r="M1476"/>
      <c r="N1476"/>
      <c r="O1476">
        <v>57.97</v>
      </c>
      <c r="P1476">
        <v>0.0</v>
      </c>
      <c r="Q1476">
        <v>380.0</v>
      </c>
      <c r="R1476"/>
      <c r="S1476"/>
      <c r="T1476"/>
      <c r="U1476"/>
      <c r="V1476"/>
      <c r="W1476">
        <v>18</v>
      </c>
    </row>
    <row r="1477" spans="1:23">
      <c r="A1477"/>
      <c r="B1477" t="s">
        <v>96</v>
      </c>
      <c r="C1477" t="s">
        <v>96</v>
      </c>
      <c r="D1477" t="s">
        <v>37</v>
      </c>
      <c r="E1477" t="s">
        <v>38</v>
      </c>
      <c r="F1477" t="str">
        <f>"0001577"</f>
        <v>0001577</v>
      </c>
      <c r="G1477">
        <v>1</v>
      </c>
      <c r="H1477" t="str">
        <f>"00000000"</f>
        <v>00000000</v>
      </c>
      <c r="I1477" t="s">
        <v>39</v>
      </c>
      <c r="J1477"/>
      <c r="K1477">
        <v>338.98</v>
      </c>
      <c r="L1477">
        <v>0.0</v>
      </c>
      <c r="M1477"/>
      <c r="N1477"/>
      <c r="O1477">
        <v>61.02</v>
      </c>
      <c r="P1477">
        <v>0.0</v>
      </c>
      <c r="Q1477">
        <v>400.0</v>
      </c>
      <c r="R1477"/>
      <c r="S1477"/>
      <c r="T1477"/>
      <c r="U1477"/>
      <c r="V1477"/>
      <c r="W1477">
        <v>18</v>
      </c>
    </row>
    <row r="1478" spans="1:23">
      <c r="A1478"/>
      <c r="B1478" t="s">
        <v>96</v>
      </c>
      <c r="C1478" t="s">
        <v>96</v>
      </c>
      <c r="D1478" t="s">
        <v>37</v>
      </c>
      <c r="E1478" t="s">
        <v>38</v>
      </c>
      <c r="F1478" t="str">
        <f>"0001578"</f>
        <v>0001578</v>
      </c>
      <c r="G1478">
        <v>1</v>
      </c>
      <c r="H1478" t="str">
        <f>"00000000"</f>
        <v>00000000</v>
      </c>
      <c r="I1478" t="s">
        <v>39</v>
      </c>
      <c r="J1478"/>
      <c r="K1478">
        <v>406.78</v>
      </c>
      <c r="L1478">
        <v>0.0</v>
      </c>
      <c r="M1478"/>
      <c r="N1478"/>
      <c r="O1478">
        <v>73.22</v>
      </c>
      <c r="P1478">
        <v>0.0</v>
      </c>
      <c r="Q1478">
        <v>480.0</v>
      </c>
      <c r="R1478"/>
      <c r="S1478"/>
      <c r="T1478"/>
      <c r="U1478"/>
      <c r="V1478"/>
      <c r="W1478">
        <v>18</v>
      </c>
    </row>
    <row r="1479" spans="1:23">
      <c r="A1479"/>
      <c r="B1479" t="s">
        <v>96</v>
      </c>
      <c r="C1479" t="s">
        <v>96</v>
      </c>
      <c r="D1479" t="s">
        <v>37</v>
      </c>
      <c r="E1479" t="s">
        <v>38</v>
      </c>
      <c r="F1479" t="str">
        <f>"0001579"</f>
        <v>0001579</v>
      </c>
      <c r="G1479">
        <v>1</v>
      </c>
      <c r="H1479" t="str">
        <f>"00000000"</f>
        <v>00000000</v>
      </c>
      <c r="I1479" t="s">
        <v>39</v>
      </c>
      <c r="J1479"/>
      <c r="K1479">
        <v>406.78</v>
      </c>
      <c r="L1479">
        <v>0.0</v>
      </c>
      <c r="M1479"/>
      <c r="N1479"/>
      <c r="O1479">
        <v>73.22</v>
      </c>
      <c r="P1479">
        <v>0.0</v>
      </c>
      <c r="Q1479">
        <v>480.0</v>
      </c>
      <c r="R1479"/>
      <c r="S1479"/>
      <c r="T1479"/>
      <c r="U1479"/>
      <c r="V1479"/>
      <c r="W1479">
        <v>18</v>
      </c>
    </row>
    <row r="1480" spans="1:23">
      <c r="A1480"/>
      <c r="B1480" t="s">
        <v>96</v>
      </c>
      <c r="C1480" t="s">
        <v>96</v>
      </c>
      <c r="D1480" t="s">
        <v>37</v>
      </c>
      <c r="E1480" t="s">
        <v>38</v>
      </c>
      <c r="F1480" t="str">
        <f>"0001580"</f>
        <v>0001580</v>
      </c>
      <c r="G1480">
        <v>1</v>
      </c>
      <c r="H1480" t="str">
        <f>"00000000"</f>
        <v>00000000</v>
      </c>
      <c r="I1480" t="s">
        <v>39</v>
      </c>
      <c r="J1480"/>
      <c r="K1480">
        <v>406.78</v>
      </c>
      <c r="L1480">
        <v>0.0</v>
      </c>
      <c r="M1480"/>
      <c r="N1480"/>
      <c r="O1480">
        <v>73.22</v>
      </c>
      <c r="P1480">
        <v>0.0</v>
      </c>
      <c r="Q1480">
        <v>480.0</v>
      </c>
      <c r="R1480"/>
      <c r="S1480"/>
      <c r="T1480"/>
      <c r="U1480"/>
      <c r="V1480"/>
      <c r="W1480">
        <v>18</v>
      </c>
    </row>
    <row r="1481" spans="1:23">
      <c r="A1481"/>
      <c r="B1481" t="s">
        <v>96</v>
      </c>
      <c r="C1481" t="s">
        <v>96</v>
      </c>
      <c r="D1481" t="s">
        <v>37</v>
      </c>
      <c r="E1481" t="s">
        <v>38</v>
      </c>
      <c r="F1481" t="str">
        <f>"0001581"</f>
        <v>0001581</v>
      </c>
      <c r="G1481">
        <v>1</v>
      </c>
      <c r="H1481" t="str">
        <f>"00000000"</f>
        <v>00000000</v>
      </c>
      <c r="I1481" t="s">
        <v>39</v>
      </c>
      <c r="J1481"/>
      <c r="K1481">
        <v>406.78</v>
      </c>
      <c r="L1481">
        <v>0.0</v>
      </c>
      <c r="M1481"/>
      <c r="N1481"/>
      <c r="O1481">
        <v>73.22</v>
      </c>
      <c r="P1481">
        <v>0.0</v>
      </c>
      <c r="Q1481">
        <v>480.0</v>
      </c>
      <c r="R1481"/>
      <c r="S1481"/>
      <c r="T1481"/>
      <c r="U1481"/>
      <c r="V1481"/>
      <c r="W1481">
        <v>18</v>
      </c>
    </row>
    <row r="1482" spans="1:23">
      <c r="A1482"/>
      <c r="B1482" t="s">
        <v>96</v>
      </c>
      <c r="C1482" t="s">
        <v>96</v>
      </c>
      <c r="D1482" t="s">
        <v>37</v>
      </c>
      <c r="E1482" t="s">
        <v>38</v>
      </c>
      <c r="F1482" t="str">
        <f>"0001582"</f>
        <v>0001582</v>
      </c>
      <c r="G1482">
        <v>1</v>
      </c>
      <c r="H1482" t="str">
        <f>"00000000"</f>
        <v>00000000</v>
      </c>
      <c r="I1482" t="s">
        <v>39</v>
      </c>
      <c r="J1482"/>
      <c r="K1482">
        <v>372.88</v>
      </c>
      <c r="L1482">
        <v>0.0</v>
      </c>
      <c r="M1482"/>
      <c r="N1482"/>
      <c r="O1482">
        <v>67.12</v>
      </c>
      <c r="P1482">
        <v>0.0</v>
      </c>
      <c r="Q1482">
        <v>440.0</v>
      </c>
      <c r="R1482"/>
      <c r="S1482"/>
      <c r="T1482"/>
      <c r="U1482"/>
      <c r="V1482"/>
      <c r="W1482">
        <v>18</v>
      </c>
    </row>
    <row r="1483" spans="1:23">
      <c r="A1483"/>
      <c r="B1483" t="s">
        <v>96</v>
      </c>
      <c r="C1483" t="s">
        <v>96</v>
      </c>
      <c r="D1483" t="s">
        <v>37</v>
      </c>
      <c r="E1483" t="s">
        <v>38</v>
      </c>
      <c r="F1483" t="str">
        <f>"0001583"</f>
        <v>0001583</v>
      </c>
      <c r="G1483">
        <v>1</v>
      </c>
      <c r="H1483" t="str">
        <f>"00000000"</f>
        <v>00000000</v>
      </c>
      <c r="I1483" t="s">
        <v>39</v>
      </c>
      <c r="J1483"/>
      <c r="K1483">
        <v>406.78</v>
      </c>
      <c r="L1483">
        <v>0.0</v>
      </c>
      <c r="M1483"/>
      <c r="N1483"/>
      <c r="O1483">
        <v>73.22</v>
      </c>
      <c r="P1483">
        <v>0.0</v>
      </c>
      <c r="Q1483">
        <v>480.0</v>
      </c>
      <c r="R1483"/>
      <c r="S1483"/>
      <c r="T1483"/>
      <c r="U1483"/>
      <c r="V1483"/>
      <c r="W1483">
        <v>18</v>
      </c>
    </row>
    <row r="1484" spans="1:23">
      <c r="A1484"/>
      <c r="B1484" t="s">
        <v>96</v>
      </c>
      <c r="C1484" t="s">
        <v>96</v>
      </c>
      <c r="D1484" t="s">
        <v>37</v>
      </c>
      <c r="E1484" t="s">
        <v>38</v>
      </c>
      <c r="F1484" t="str">
        <f>"0001584"</f>
        <v>0001584</v>
      </c>
      <c r="G1484">
        <v>1</v>
      </c>
      <c r="H1484" t="str">
        <f>"00000000"</f>
        <v>00000000</v>
      </c>
      <c r="I1484" t="s">
        <v>39</v>
      </c>
      <c r="J1484"/>
      <c r="K1484">
        <v>355.93</v>
      </c>
      <c r="L1484">
        <v>0.0</v>
      </c>
      <c r="M1484"/>
      <c r="N1484"/>
      <c r="O1484">
        <v>64.07</v>
      </c>
      <c r="P1484">
        <v>0.0</v>
      </c>
      <c r="Q1484">
        <v>420.0</v>
      </c>
      <c r="R1484"/>
      <c r="S1484"/>
      <c r="T1484"/>
      <c r="U1484"/>
      <c r="V1484"/>
      <c r="W1484">
        <v>18</v>
      </c>
    </row>
    <row r="1485" spans="1:23">
      <c r="A1485"/>
      <c r="B1485" t="s">
        <v>97</v>
      </c>
      <c r="C1485" t="s">
        <v>97</v>
      </c>
      <c r="D1485" t="s">
        <v>33</v>
      </c>
      <c r="E1485" t="s">
        <v>34</v>
      </c>
      <c r="F1485" t="str">
        <f>"0000033"</f>
        <v>0000033</v>
      </c>
      <c r="G1485">
        <v>6</v>
      </c>
      <c r="H1485" t="str">
        <f>"10278362812"</f>
        <v>10278362812</v>
      </c>
      <c r="I1485" t="s">
        <v>98</v>
      </c>
      <c r="J1485"/>
      <c r="K1485">
        <v>1682.2</v>
      </c>
      <c r="L1485">
        <v>0.0</v>
      </c>
      <c r="M1485"/>
      <c r="N1485"/>
      <c r="O1485">
        <v>302.8</v>
      </c>
      <c r="P1485">
        <v>0.0</v>
      </c>
      <c r="Q1485">
        <v>1985.0</v>
      </c>
      <c r="R1485"/>
      <c r="S1485"/>
      <c r="T1485"/>
      <c r="U1485"/>
      <c r="V1485"/>
      <c r="W1485">
        <v>18</v>
      </c>
    </row>
    <row r="1486" spans="1:23">
      <c r="A1486"/>
      <c r="B1486" t="s">
        <v>99</v>
      </c>
      <c r="C1486" t="s">
        <v>99</v>
      </c>
      <c r="D1486" t="s">
        <v>37</v>
      </c>
      <c r="E1486" t="s">
        <v>38</v>
      </c>
      <c r="F1486" t="str">
        <f>"0001585"</f>
        <v>0001585</v>
      </c>
      <c r="G1486">
        <v>1</v>
      </c>
      <c r="H1486" t="str">
        <f>"45736442"</f>
        <v>45736442</v>
      </c>
      <c r="I1486" t="s">
        <v>100</v>
      </c>
      <c r="J1486"/>
      <c r="K1486">
        <v>2151.69</v>
      </c>
      <c r="L1486">
        <v>0.0</v>
      </c>
      <c r="M1486"/>
      <c r="N1486"/>
      <c r="O1486">
        <v>387.31</v>
      </c>
      <c r="P1486">
        <v>0.0</v>
      </c>
      <c r="Q1486">
        <v>2539.0</v>
      </c>
      <c r="R1486"/>
      <c r="S1486"/>
      <c r="T1486"/>
      <c r="U1486"/>
      <c r="V1486"/>
      <c r="W1486">
        <v>18</v>
      </c>
    </row>
    <row r="1487" spans="1:23">
      <c r="A1487"/>
      <c r="B1487" t="s">
        <v>101</v>
      </c>
      <c r="C1487" t="s">
        <v>101</v>
      </c>
      <c r="D1487" t="s">
        <v>33</v>
      </c>
      <c r="E1487" t="s">
        <v>34</v>
      </c>
      <c r="F1487" t="str">
        <f>"0000034"</f>
        <v>0000034</v>
      </c>
      <c r="G1487">
        <v>6</v>
      </c>
      <c r="H1487" t="str">
        <f>"20479491811"</f>
        <v>20479491811</v>
      </c>
      <c r="I1487" t="s">
        <v>102</v>
      </c>
      <c r="J1487"/>
      <c r="K1487">
        <v>1359.31</v>
      </c>
      <c r="L1487">
        <v>0.0</v>
      </c>
      <c r="M1487"/>
      <c r="N1487"/>
      <c r="O1487">
        <v>244.67</v>
      </c>
      <c r="P1487">
        <v>0.0</v>
      </c>
      <c r="Q1487">
        <v>1603.98</v>
      </c>
      <c r="R1487"/>
      <c r="S1487"/>
      <c r="T1487"/>
      <c r="U1487"/>
      <c r="V1487"/>
      <c r="W1487">
        <v>18</v>
      </c>
    </row>
    <row r="1488" spans="1:23">
      <c r="A1488"/>
      <c r="B1488" t="s">
        <v>103</v>
      </c>
      <c r="C1488" t="s">
        <v>103</v>
      </c>
      <c r="D1488" t="s">
        <v>33</v>
      </c>
      <c r="E1488" t="s">
        <v>34</v>
      </c>
      <c r="F1488" t="str">
        <f>"0000035"</f>
        <v>0000035</v>
      </c>
      <c r="G1488">
        <v>6</v>
      </c>
      <c r="H1488" t="str">
        <f>"20606996307"</f>
        <v>20606996307</v>
      </c>
      <c r="I1488" t="s">
        <v>104</v>
      </c>
      <c r="J1488"/>
      <c r="K1488">
        <v>210.17</v>
      </c>
      <c r="L1488">
        <v>0.0</v>
      </c>
      <c r="M1488"/>
      <c r="N1488"/>
      <c r="O1488">
        <v>37.83</v>
      </c>
      <c r="P1488">
        <v>0.0</v>
      </c>
      <c r="Q1488">
        <v>248.0</v>
      </c>
      <c r="R1488"/>
      <c r="S1488"/>
      <c r="T1488"/>
      <c r="U1488"/>
      <c r="V1488"/>
      <c r="W1488">
        <v>18</v>
      </c>
    </row>
    <row r="1489" spans="1:23">
      <c r="A1489"/>
      <c r="B1489" t="s">
        <v>105</v>
      </c>
      <c r="C1489" t="s">
        <v>105</v>
      </c>
      <c r="D1489" t="s">
        <v>33</v>
      </c>
      <c r="E1489" t="s">
        <v>34</v>
      </c>
      <c r="F1489" t="str">
        <f>"0000036"</f>
        <v>0000036</v>
      </c>
      <c r="G1489">
        <v>6</v>
      </c>
      <c r="H1489" t="str">
        <f>"20487559254"</f>
        <v>20487559254</v>
      </c>
      <c r="I1489" t="s">
        <v>106</v>
      </c>
      <c r="J1489"/>
      <c r="K1489">
        <v>220.34</v>
      </c>
      <c r="L1489">
        <v>0.0</v>
      </c>
      <c r="M1489"/>
      <c r="N1489"/>
      <c r="O1489">
        <v>39.66</v>
      </c>
      <c r="P1489">
        <v>0.0</v>
      </c>
      <c r="Q1489">
        <v>260.0</v>
      </c>
      <c r="R1489"/>
      <c r="S1489"/>
      <c r="T1489"/>
      <c r="U1489"/>
      <c r="V1489"/>
      <c r="W1489">
        <v>18</v>
      </c>
    </row>
    <row r="1490" spans="1:23">
      <c r="A1490"/>
      <c r="B1490" t="s">
        <v>107</v>
      </c>
      <c r="C1490" t="s">
        <v>107</v>
      </c>
      <c r="D1490" t="s">
        <v>33</v>
      </c>
      <c r="E1490" t="s">
        <v>34</v>
      </c>
      <c r="F1490" t="str">
        <f>"0000037"</f>
        <v>0000037</v>
      </c>
      <c r="G1490">
        <v>6</v>
      </c>
      <c r="H1490" t="str">
        <f>"20487559254"</f>
        <v>20487559254</v>
      </c>
      <c r="I1490" t="s">
        <v>106</v>
      </c>
      <c r="J1490"/>
      <c r="K1490">
        <v>203.39</v>
      </c>
      <c r="L1490">
        <v>0.0</v>
      </c>
      <c r="M1490"/>
      <c r="N1490"/>
      <c r="O1490">
        <v>36.61</v>
      </c>
      <c r="P1490">
        <v>0.0</v>
      </c>
      <c r="Q1490">
        <v>240.0</v>
      </c>
      <c r="R1490"/>
      <c r="S1490"/>
      <c r="T1490"/>
      <c r="U1490"/>
      <c r="V1490"/>
      <c r="W1490">
        <v>18</v>
      </c>
    </row>
    <row r="1491" spans="1:23">
      <c r="A1491"/>
      <c r="B1491" t="s">
        <v>108</v>
      </c>
      <c r="C1491" t="s">
        <v>108</v>
      </c>
      <c r="D1491" t="s">
        <v>37</v>
      </c>
      <c r="E1491" t="s">
        <v>38</v>
      </c>
      <c r="F1491" t="str">
        <f>"0001586"</f>
        <v>0001586</v>
      </c>
      <c r="G1491">
        <v>1</v>
      </c>
      <c r="H1491" t="str">
        <f>"40696959"</f>
        <v>40696959</v>
      </c>
      <c r="I1491" t="s">
        <v>109</v>
      </c>
      <c r="J1491"/>
      <c r="K1491">
        <v>533.9</v>
      </c>
      <c r="L1491">
        <v>0.0</v>
      </c>
      <c r="M1491"/>
      <c r="N1491"/>
      <c r="O1491">
        <v>96.1</v>
      </c>
      <c r="P1491">
        <v>0.0</v>
      </c>
      <c r="Q1491">
        <v>630.0</v>
      </c>
      <c r="R1491"/>
      <c r="S1491"/>
      <c r="T1491"/>
      <c r="U1491"/>
      <c r="V1491"/>
      <c r="W1491">
        <v>18</v>
      </c>
    </row>
    <row r="1492" spans="1:23">
      <c r="A1492"/>
      <c r="B1492" t="s">
        <v>110</v>
      </c>
      <c r="C1492" t="s">
        <v>110</v>
      </c>
      <c r="D1492" t="s">
        <v>33</v>
      </c>
      <c r="E1492" t="s">
        <v>34</v>
      </c>
      <c r="F1492" t="str">
        <f>"0000038"</f>
        <v>0000038</v>
      </c>
      <c r="G1492">
        <v>6</v>
      </c>
      <c r="H1492" t="str">
        <f>"20480435185"</f>
        <v>20480435185</v>
      </c>
      <c r="I1492" t="s">
        <v>111</v>
      </c>
      <c r="J1492"/>
      <c r="K1492">
        <v>122.03</v>
      </c>
      <c r="L1492">
        <v>0.0</v>
      </c>
      <c r="M1492"/>
      <c r="N1492"/>
      <c r="O1492">
        <v>21.97</v>
      </c>
      <c r="P1492">
        <v>0.0</v>
      </c>
      <c r="Q1492">
        <v>144.0</v>
      </c>
      <c r="R1492"/>
      <c r="S1492"/>
      <c r="T1492"/>
      <c r="U1492"/>
      <c r="V1492"/>
      <c r="W1492">
        <v>18</v>
      </c>
    </row>
    <row r="1493" spans="1:23">
      <c r="A1493"/>
      <c r="B1493" t="s">
        <v>110</v>
      </c>
      <c r="C1493" t="s">
        <v>110</v>
      </c>
      <c r="D1493" t="s">
        <v>33</v>
      </c>
      <c r="E1493" t="s">
        <v>34</v>
      </c>
      <c r="F1493" t="str">
        <f>"0000039"</f>
        <v>0000039</v>
      </c>
      <c r="G1493">
        <v>6</v>
      </c>
      <c r="H1493" t="str">
        <f>"10167300125"</f>
        <v>10167300125</v>
      </c>
      <c r="I1493" t="s">
        <v>112</v>
      </c>
      <c r="J1493"/>
      <c r="K1493">
        <v>135.59</v>
      </c>
      <c r="L1493">
        <v>0.0</v>
      </c>
      <c r="M1493"/>
      <c r="N1493"/>
      <c r="O1493">
        <v>24.41</v>
      </c>
      <c r="P1493">
        <v>0.0</v>
      </c>
      <c r="Q1493">
        <v>160.0</v>
      </c>
      <c r="R1493"/>
      <c r="S1493"/>
      <c r="T1493"/>
      <c r="U1493"/>
      <c r="V1493"/>
      <c r="W1493">
        <v>18</v>
      </c>
    </row>
    <row r="1494" spans="1:23">
      <c r="A1494"/>
      <c r="B1494" t="s">
        <v>110</v>
      </c>
      <c r="C1494" t="s">
        <v>110</v>
      </c>
      <c r="D1494" t="s">
        <v>33</v>
      </c>
      <c r="E1494" t="s">
        <v>34</v>
      </c>
      <c r="F1494" t="str">
        <f>"0000040"</f>
        <v>0000040</v>
      </c>
      <c r="G1494">
        <v>6</v>
      </c>
      <c r="H1494" t="str">
        <f>"20348938704"</f>
        <v>20348938704</v>
      </c>
      <c r="I1494" t="s">
        <v>113</v>
      </c>
      <c r="J1494"/>
      <c r="K1494">
        <v>401.95</v>
      </c>
      <c r="L1494">
        <v>0.0</v>
      </c>
      <c r="M1494"/>
      <c r="N1494"/>
      <c r="O1494">
        <v>72.35</v>
      </c>
      <c r="P1494">
        <v>0.0</v>
      </c>
      <c r="Q1494">
        <v>474.3</v>
      </c>
      <c r="R1494"/>
      <c r="S1494"/>
      <c r="T1494"/>
      <c r="U1494"/>
      <c r="V1494"/>
      <c r="W1494">
        <v>18</v>
      </c>
    </row>
    <row r="1495" spans="1:23">
      <c r="A1495"/>
      <c r="B1495" t="s">
        <v>110</v>
      </c>
      <c r="C1495" t="s">
        <v>110</v>
      </c>
      <c r="D1495" t="s">
        <v>37</v>
      </c>
      <c r="E1495" t="s">
        <v>38</v>
      </c>
      <c r="F1495" t="str">
        <f>"0001587"</f>
        <v>0001587</v>
      </c>
      <c r="G1495">
        <v>1</v>
      </c>
      <c r="H1495" t="str">
        <f>"16691542"</f>
        <v>16691542</v>
      </c>
      <c r="I1495" t="s">
        <v>114</v>
      </c>
      <c r="J1495"/>
      <c r="K1495">
        <v>372.88</v>
      </c>
      <c r="L1495">
        <v>0.0</v>
      </c>
      <c r="M1495"/>
      <c r="N1495"/>
      <c r="O1495">
        <v>67.12</v>
      </c>
      <c r="P1495">
        <v>0.0</v>
      </c>
      <c r="Q1495">
        <v>440.0</v>
      </c>
      <c r="R1495"/>
      <c r="S1495"/>
      <c r="T1495"/>
      <c r="U1495"/>
      <c r="V1495"/>
      <c r="W1495">
        <v>18</v>
      </c>
    </row>
    <row r="1496" spans="1:23">
      <c r="A1496"/>
      <c r="B1496" t="s">
        <v>115</v>
      </c>
      <c r="C1496" t="s">
        <v>115</v>
      </c>
      <c r="D1496" t="s">
        <v>33</v>
      </c>
      <c r="E1496" t="s">
        <v>34</v>
      </c>
      <c r="F1496" t="str">
        <f>"0000041"</f>
        <v>0000041</v>
      </c>
      <c r="G1496">
        <v>6</v>
      </c>
      <c r="H1496" t="str">
        <f>"20555533943"</f>
        <v>20555533943</v>
      </c>
      <c r="I1496" t="s">
        <v>116</v>
      </c>
      <c r="J1496"/>
      <c r="K1496">
        <v>25.42</v>
      </c>
      <c r="L1496">
        <v>0.0</v>
      </c>
      <c r="M1496"/>
      <c r="N1496"/>
      <c r="O1496">
        <v>4.58</v>
      </c>
      <c r="P1496">
        <v>0.0</v>
      </c>
      <c r="Q1496">
        <v>30.0</v>
      </c>
      <c r="R1496"/>
      <c r="S1496"/>
      <c r="T1496"/>
      <c r="U1496"/>
      <c r="V1496"/>
      <c r="W1496">
        <v>18</v>
      </c>
    </row>
    <row r="1497" spans="1:23">
      <c r="A1497"/>
      <c r="B1497" t="s">
        <v>115</v>
      </c>
      <c r="C1497" t="s">
        <v>115</v>
      </c>
      <c r="D1497" t="s">
        <v>33</v>
      </c>
      <c r="E1497" t="s">
        <v>34</v>
      </c>
      <c r="F1497" t="str">
        <f>"0000042"</f>
        <v>0000042</v>
      </c>
      <c r="G1497">
        <v>6</v>
      </c>
      <c r="H1497" t="str">
        <f>"20606013737"</f>
        <v>20606013737</v>
      </c>
      <c r="I1497" t="s">
        <v>117</v>
      </c>
      <c r="J1497"/>
      <c r="K1497">
        <v>288.14</v>
      </c>
      <c r="L1497">
        <v>0.0</v>
      </c>
      <c r="M1497"/>
      <c r="N1497"/>
      <c r="O1497">
        <v>51.86</v>
      </c>
      <c r="P1497">
        <v>0.0</v>
      </c>
      <c r="Q1497">
        <v>340.0</v>
      </c>
      <c r="R1497"/>
      <c r="S1497"/>
      <c r="T1497"/>
      <c r="U1497"/>
      <c r="V1497"/>
      <c r="W1497">
        <v>18</v>
      </c>
    </row>
    <row r="1498" spans="1:23">
      <c r="A1498"/>
      <c r="B1498" t="s">
        <v>115</v>
      </c>
      <c r="C1498" t="s">
        <v>115</v>
      </c>
      <c r="D1498" t="s">
        <v>33</v>
      </c>
      <c r="E1498" t="s">
        <v>34</v>
      </c>
      <c r="F1498" t="str">
        <f>"0000043"</f>
        <v>0000043</v>
      </c>
      <c r="G1498">
        <v>6</v>
      </c>
      <c r="H1498" t="str">
        <f>"10445854587"</f>
        <v>10445854587</v>
      </c>
      <c r="I1498" t="s">
        <v>118</v>
      </c>
      <c r="J1498"/>
      <c r="K1498">
        <v>177.97</v>
      </c>
      <c r="L1498">
        <v>0.0</v>
      </c>
      <c r="M1498"/>
      <c r="N1498"/>
      <c r="O1498">
        <v>32.03</v>
      </c>
      <c r="P1498">
        <v>0.0</v>
      </c>
      <c r="Q1498">
        <v>210.0</v>
      </c>
      <c r="R1498"/>
      <c r="S1498"/>
      <c r="T1498"/>
      <c r="U1498"/>
      <c r="V1498"/>
      <c r="W1498">
        <v>18</v>
      </c>
    </row>
    <row r="1499" spans="1:23">
      <c r="A1499"/>
      <c r="B1499" t="s">
        <v>115</v>
      </c>
      <c r="C1499" t="s">
        <v>115</v>
      </c>
      <c r="D1499" t="s">
        <v>33</v>
      </c>
      <c r="E1499" t="s">
        <v>34</v>
      </c>
      <c r="F1499" t="str">
        <f>"0000044"</f>
        <v>0000044</v>
      </c>
      <c r="G1499">
        <v>6</v>
      </c>
      <c r="H1499" t="str">
        <f>"20513704063"</f>
        <v>20513704063</v>
      </c>
      <c r="I1499" t="s">
        <v>119</v>
      </c>
      <c r="J1499"/>
      <c r="K1499">
        <v>25.42</v>
      </c>
      <c r="L1499">
        <v>0.0</v>
      </c>
      <c r="M1499"/>
      <c r="N1499"/>
      <c r="O1499">
        <v>4.58</v>
      </c>
      <c r="P1499">
        <v>0.0</v>
      </c>
      <c r="Q1499">
        <v>30.0</v>
      </c>
      <c r="R1499"/>
      <c r="S1499"/>
      <c r="T1499"/>
      <c r="U1499"/>
      <c r="V1499"/>
      <c r="W1499">
        <v>18</v>
      </c>
    </row>
    <row r="1500" spans="1:23">
      <c r="A1500"/>
      <c r="B1500" t="s">
        <v>115</v>
      </c>
      <c r="C1500" t="s">
        <v>115</v>
      </c>
      <c r="D1500" t="s">
        <v>33</v>
      </c>
      <c r="E1500" t="s">
        <v>34</v>
      </c>
      <c r="F1500" t="str">
        <f>"0000045"</f>
        <v>0000045</v>
      </c>
      <c r="G1500">
        <v>6</v>
      </c>
      <c r="H1500" t="str">
        <f>"10423781373"</f>
        <v>10423781373</v>
      </c>
      <c r="I1500" t="s">
        <v>120</v>
      </c>
      <c r="J1500"/>
      <c r="K1500">
        <v>690.68</v>
      </c>
      <c r="L1500">
        <v>0.0</v>
      </c>
      <c r="M1500"/>
      <c r="N1500"/>
      <c r="O1500">
        <v>124.32</v>
      </c>
      <c r="P1500">
        <v>0.0</v>
      </c>
      <c r="Q1500">
        <v>815.0</v>
      </c>
      <c r="R1500"/>
      <c r="S1500"/>
      <c r="T1500"/>
      <c r="U1500"/>
      <c r="V1500"/>
      <c r="W1500">
        <v>18</v>
      </c>
    </row>
    <row r="1501" spans="1:23">
      <c r="A1501"/>
      <c r="B1501" t="s">
        <v>121</v>
      </c>
      <c r="C1501" t="s">
        <v>121</v>
      </c>
      <c r="D1501" t="s">
        <v>33</v>
      </c>
      <c r="E1501" t="s">
        <v>34</v>
      </c>
      <c r="F1501" t="str">
        <f>"0000046"</f>
        <v>0000046</v>
      </c>
      <c r="G1501">
        <v>6</v>
      </c>
      <c r="H1501" t="str">
        <f>"20513704063"</f>
        <v>20513704063</v>
      </c>
      <c r="I1501" t="s">
        <v>119</v>
      </c>
      <c r="J1501"/>
      <c r="K1501">
        <v>25.42</v>
      </c>
      <c r="L1501">
        <v>0.0</v>
      </c>
      <c r="M1501"/>
      <c r="N1501"/>
      <c r="O1501">
        <v>4.58</v>
      </c>
      <c r="P1501">
        <v>0.0</v>
      </c>
      <c r="Q1501">
        <v>30.0</v>
      </c>
      <c r="R1501"/>
      <c r="S1501"/>
      <c r="T1501"/>
      <c r="U1501"/>
      <c r="V1501"/>
      <c r="W1501">
        <v>18</v>
      </c>
    </row>
    <row r="1502" spans="1:23">
      <c r="A1502"/>
      <c r="B1502" t="s">
        <v>121</v>
      </c>
      <c r="C1502" t="s">
        <v>121</v>
      </c>
      <c r="D1502" t="s">
        <v>33</v>
      </c>
      <c r="E1502" t="s">
        <v>34</v>
      </c>
      <c r="F1502" t="str">
        <f>"0000047"</f>
        <v>0000047</v>
      </c>
      <c r="G1502">
        <v>6</v>
      </c>
      <c r="H1502" t="str">
        <f>"20395263952"</f>
        <v>20395263952</v>
      </c>
      <c r="I1502" t="s">
        <v>47</v>
      </c>
      <c r="J1502"/>
      <c r="K1502">
        <v>4237.29</v>
      </c>
      <c r="L1502">
        <v>0.0</v>
      </c>
      <c r="M1502"/>
      <c r="N1502"/>
      <c r="O1502">
        <v>762.71</v>
      </c>
      <c r="P1502">
        <v>0.0</v>
      </c>
      <c r="Q1502">
        <v>5000.0</v>
      </c>
      <c r="R1502"/>
      <c r="S1502"/>
      <c r="T1502"/>
      <c r="U1502"/>
      <c r="V1502"/>
      <c r="W1502">
        <v>18</v>
      </c>
    </row>
    <row r="1503" spans="1:23">
      <c r="A1503"/>
      <c r="B1503" t="s">
        <v>121</v>
      </c>
      <c r="C1503" t="s">
        <v>121</v>
      </c>
      <c r="D1503" t="s">
        <v>33</v>
      </c>
      <c r="E1503" t="s">
        <v>34</v>
      </c>
      <c r="F1503" t="str">
        <f>"0000048"</f>
        <v>0000048</v>
      </c>
      <c r="G1503">
        <v>6</v>
      </c>
      <c r="H1503" t="str">
        <f>"20395263952"</f>
        <v>20395263952</v>
      </c>
      <c r="I1503" t="s">
        <v>47</v>
      </c>
      <c r="J1503"/>
      <c r="K1503">
        <v>4237.29</v>
      </c>
      <c r="L1503">
        <v>0.0</v>
      </c>
      <c r="M1503"/>
      <c r="N1503"/>
      <c r="O1503">
        <v>762.71</v>
      </c>
      <c r="P1503">
        <v>0.0</v>
      </c>
      <c r="Q1503">
        <v>5000.0</v>
      </c>
      <c r="R1503"/>
      <c r="S1503"/>
      <c r="T1503"/>
      <c r="U1503"/>
      <c r="V1503"/>
      <c r="W1503">
        <v>18</v>
      </c>
    </row>
    <row r="1504" spans="1:23">
      <c r="A1504"/>
      <c r="B1504" t="s">
        <v>121</v>
      </c>
      <c r="C1504" t="s">
        <v>121</v>
      </c>
      <c r="D1504" t="s">
        <v>37</v>
      </c>
      <c r="E1504" t="s">
        <v>38</v>
      </c>
      <c r="F1504" t="str">
        <f>"0001588"</f>
        <v>0001588</v>
      </c>
      <c r="G1504">
        <v>1</v>
      </c>
      <c r="H1504" t="str">
        <f>"00000000"</f>
        <v>00000000</v>
      </c>
      <c r="I1504" t="s">
        <v>39</v>
      </c>
      <c r="J1504"/>
      <c r="K1504">
        <v>406.78</v>
      </c>
      <c r="L1504">
        <v>0.0</v>
      </c>
      <c r="M1504"/>
      <c r="N1504"/>
      <c r="O1504">
        <v>73.22</v>
      </c>
      <c r="P1504">
        <v>0.0</v>
      </c>
      <c r="Q1504">
        <v>480.0</v>
      </c>
      <c r="R1504"/>
      <c r="S1504"/>
      <c r="T1504"/>
      <c r="U1504"/>
      <c r="V1504"/>
      <c r="W1504">
        <v>18</v>
      </c>
    </row>
    <row r="1505" spans="1:23">
      <c r="A1505"/>
      <c r="B1505" t="s">
        <v>121</v>
      </c>
      <c r="C1505" t="s">
        <v>121</v>
      </c>
      <c r="D1505" t="s">
        <v>37</v>
      </c>
      <c r="E1505" t="s">
        <v>38</v>
      </c>
      <c r="F1505" t="str">
        <f>"0001589"</f>
        <v>0001589</v>
      </c>
      <c r="G1505">
        <v>1</v>
      </c>
      <c r="H1505" t="str">
        <f>"00000000"</f>
        <v>00000000</v>
      </c>
      <c r="I1505" t="s">
        <v>39</v>
      </c>
      <c r="J1505"/>
      <c r="K1505">
        <v>330.51</v>
      </c>
      <c r="L1505">
        <v>0.0</v>
      </c>
      <c r="M1505"/>
      <c r="N1505"/>
      <c r="O1505">
        <v>59.49</v>
      </c>
      <c r="P1505">
        <v>0.0</v>
      </c>
      <c r="Q1505">
        <v>390.0</v>
      </c>
      <c r="R1505"/>
      <c r="S1505"/>
      <c r="T1505"/>
      <c r="U1505"/>
      <c r="V1505"/>
      <c r="W1505">
        <v>18</v>
      </c>
    </row>
    <row r="1506" spans="1:23">
      <c r="A1506"/>
      <c r="B1506" t="s">
        <v>121</v>
      </c>
      <c r="C1506" t="s">
        <v>121</v>
      </c>
      <c r="D1506" t="s">
        <v>37</v>
      </c>
      <c r="E1506" t="s">
        <v>38</v>
      </c>
      <c r="F1506" t="str">
        <f>"0001590"</f>
        <v>0001590</v>
      </c>
      <c r="G1506">
        <v>1</v>
      </c>
      <c r="H1506" t="str">
        <f>"00000000"</f>
        <v>00000000</v>
      </c>
      <c r="I1506" t="s">
        <v>39</v>
      </c>
      <c r="J1506"/>
      <c r="K1506">
        <v>381.36</v>
      </c>
      <c r="L1506">
        <v>0.0</v>
      </c>
      <c r="M1506"/>
      <c r="N1506"/>
      <c r="O1506">
        <v>68.64</v>
      </c>
      <c r="P1506">
        <v>0.0</v>
      </c>
      <c r="Q1506">
        <v>450.0</v>
      </c>
      <c r="R1506"/>
      <c r="S1506"/>
      <c r="T1506"/>
      <c r="U1506"/>
      <c r="V1506"/>
      <c r="W1506">
        <v>18</v>
      </c>
    </row>
    <row r="1507" spans="1:23">
      <c r="A1507"/>
      <c r="B1507" t="s">
        <v>121</v>
      </c>
      <c r="C1507" t="s">
        <v>121</v>
      </c>
      <c r="D1507" t="s">
        <v>37</v>
      </c>
      <c r="E1507" t="s">
        <v>38</v>
      </c>
      <c r="F1507" t="str">
        <f>"0001591"</f>
        <v>0001591</v>
      </c>
      <c r="G1507">
        <v>1</v>
      </c>
      <c r="H1507" t="str">
        <f>"00000000"</f>
        <v>00000000</v>
      </c>
      <c r="I1507" t="s">
        <v>39</v>
      </c>
      <c r="J1507"/>
      <c r="K1507">
        <v>338.98</v>
      </c>
      <c r="L1507">
        <v>0.0</v>
      </c>
      <c r="M1507"/>
      <c r="N1507"/>
      <c r="O1507">
        <v>61.02</v>
      </c>
      <c r="P1507">
        <v>0.0</v>
      </c>
      <c r="Q1507">
        <v>400.0</v>
      </c>
      <c r="R1507"/>
      <c r="S1507"/>
      <c r="T1507"/>
      <c r="U1507"/>
      <c r="V1507"/>
      <c r="W1507">
        <v>18</v>
      </c>
    </row>
    <row r="1508" spans="1:23">
      <c r="A1508"/>
      <c r="B1508" t="s">
        <v>121</v>
      </c>
      <c r="C1508" t="s">
        <v>121</v>
      </c>
      <c r="D1508" t="s">
        <v>37</v>
      </c>
      <c r="E1508" t="s">
        <v>38</v>
      </c>
      <c r="F1508" t="str">
        <f>"0001592"</f>
        <v>0001592</v>
      </c>
      <c r="G1508">
        <v>1</v>
      </c>
      <c r="H1508" t="str">
        <f>"00000000"</f>
        <v>00000000</v>
      </c>
      <c r="I1508" t="s">
        <v>39</v>
      </c>
      <c r="J1508"/>
      <c r="K1508">
        <v>406.78</v>
      </c>
      <c r="L1508">
        <v>0.0</v>
      </c>
      <c r="M1508"/>
      <c r="N1508"/>
      <c r="O1508">
        <v>73.22</v>
      </c>
      <c r="P1508">
        <v>0.0</v>
      </c>
      <c r="Q1508">
        <v>480.0</v>
      </c>
      <c r="R1508"/>
      <c r="S1508"/>
      <c r="T1508"/>
      <c r="U1508"/>
      <c r="V1508"/>
      <c r="W1508">
        <v>18</v>
      </c>
    </row>
    <row r="1509" spans="1:23">
      <c r="A1509"/>
      <c r="B1509" t="s">
        <v>121</v>
      </c>
      <c r="C1509" t="s">
        <v>121</v>
      </c>
      <c r="D1509" t="s">
        <v>37</v>
      </c>
      <c r="E1509" t="s">
        <v>38</v>
      </c>
      <c r="F1509" t="str">
        <f>"0001593"</f>
        <v>0001593</v>
      </c>
      <c r="G1509">
        <v>1</v>
      </c>
      <c r="H1509" t="str">
        <f>"00000000"</f>
        <v>00000000</v>
      </c>
      <c r="I1509" t="s">
        <v>39</v>
      </c>
      <c r="J1509"/>
      <c r="K1509">
        <v>338.98</v>
      </c>
      <c r="L1509">
        <v>0.0</v>
      </c>
      <c r="M1509"/>
      <c r="N1509"/>
      <c r="O1509">
        <v>61.02</v>
      </c>
      <c r="P1509">
        <v>0.0</v>
      </c>
      <c r="Q1509">
        <v>400.0</v>
      </c>
      <c r="R1509"/>
      <c r="S1509"/>
      <c r="T1509"/>
      <c r="U1509"/>
      <c r="V1509"/>
      <c r="W1509">
        <v>18</v>
      </c>
    </row>
    <row r="1510" spans="1:23">
      <c r="A1510"/>
      <c r="B1510" t="s">
        <v>121</v>
      </c>
      <c r="C1510" t="s">
        <v>121</v>
      </c>
      <c r="D1510" t="s">
        <v>37</v>
      </c>
      <c r="E1510" t="s">
        <v>38</v>
      </c>
      <c r="F1510" t="str">
        <f>"0001594"</f>
        <v>0001594</v>
      </c>
      <c r="G1510">
        <v>1</v>
      </c>
      <c r="H1510" t="str">
        <f>"00000000"</f>
        <v>00000000</v>
      </c>
      <c r="I1510" t="s">
        <v>39</v>
      </c>
      <c r="J1510"/>
      <c r="K1510">
        <v>338.98</v>
      </c>
      <c r="L1510">
        <v>0.0</v>
      </c>
      <c r="M1510"/>
      <c r="N1510"/>
      <c r="O1510">
        <v>61.02</v>
      </c>
      <c r="P1510">
        <v>0.0</v>
      </c>
      <c r="Q1510">
        <v>400.0</v>
      </c>
      <c r="R1510"/>
      <c r="S1510"/>
      <c r="T1510"/>
      <c r="U1510"/>
      <c r="V1510"/>
      <c r="W1510">
        <v>18</v>
      </c>
    </row>
    <row r="1511" spans="1:23">
      <c r="A1511"/>
      <c r="B1511" t="s">
        <v>121</v>
      </c>
      <c r="C1511" t="s">
        <v>121</v>
      </c>
      <c r="D1511" t="s">
        <v>37</v>
      </c>
      <c r="E1511" t="s">
        <v>38</v>
      </c>
      <c r="F1511" t="str">
        <f>"0001595"</f>
        <v>0001595</v>
      </c>
      <c r="G1511">
        <v>1</v>
      </c>
      <c r="H1511" t="str">
        <f>"00000000"</f>
        <v>00000000</v>
      </c>
      <c r="I1511" t="s">
        <v>39</v>
      </c>
      <c r="J1511"/>
      <c r="K1511">
        <v>385.59</v>
      </c>
      <c r="L1511">
        <v>0.0</v>
      </c>
      <c r="M1511"/>
      <c r="N1511"/>
      <c r="O1511">
        <v>69.41</v>
      </c>
      <c r="P1511">
        <v>0.0</v>
      </c>
      <c r="Q1511">
        <v>455.0</v>
      </c>
      <c r="R1511"/>
      <c r="S1511"/>
      <c r="T1511"/>
      <c r="U1511"/>
      <c r="V1511"/>
      <c r="W1511">
        <v>18</v>
      </c>
    </row>
    <row r="1512" spans="1:23">
      <c r="A1512"/>
      <c r="B1512" t="s">
        <v>121</v>
      </c>
      <c r="C1512" t="s">
        <v>121</v>
      </c>
      <c r="D1512" t="s">
        <v>37</v>
      </c>
      <c r="E1512" t="s">
        <v>38</v>
      </c>
      <c r="F1512" t="str">
        <f>"0001596"</f>
        <v>0001596</v>
      </c>
      <c r="G1512">
        <v>1</v>
      </c>
      <c r="H1512" t="str">
        <f>"00000000"</f>
        <v>00000000</v>
      </c>
      <c r="I1512" t="s">
        <v>39</v>
      </c>
      <c r="J1512"/>
      <c r="K1512">
        <v>406.78</v>
      </c>
      <c r="L1512">
        <v>0.0</v>
      </c>
      <c r="M1512"/>
      <c r="N1512"/>
      <c r="O1512">
        <v>73.22</v>
      </c>
      <c r="P1512">
        <v>0.0</v>
      </c>
      <c r="Q1512">
        <v>480.0</v>
      </c>
      <c r="R1512"/>
      <c r="S1512"/>
      <c r="T1512"/>
      <c r="U1512"/>
      <c r="V1512"/>
      <c r="W1512">
        <v>18</v>
      </c>
    </row>
    <row r="1513" spans="1:23">
      <c r="A1513"/>
      <c r="B1513" t="s">
        <v>121</v>
      </c>
      <c r="C1513" t="s">
        <v>121</v>
      </c>
      <c r="D1513" t="s">
        <v>37</v>
      </c>
      <c r="E1513" t="s">
        <v>38</v>
      </c>
      <c r="F1513" t="str">
        <f>"0001597"</f>
        <v>0001597</v>
      </c>
      <c r="G1513">
        <v>1</v>
      </c>
      <c r="H1513" t="str">
        <f>"00000000"</f>
        <v>00000000</v>
      </c>
      <c r="I1513" t="s">
        <v>39</v>
      </c>
      <c r="J1513"/>
      <c r="K1513">
        <v>406.78</v>
      </c>
      <c r="L1513">
        <v>0.0</v>
      </c>
      <c r="M1513"/>
      <c r="N1513"/>
      <c r="O1513">
        <v>73.22</v>
      </c>
      <c r="P1513">
        <v>0.0</v>
      </c>
      <c r="Q1513">
        <v>480.0</v>
      </c>
      <c r="R1513"/>
      <c r="S1513"/>
      <c r="T1513"/>
      <c r="U1513"/>
      <c r="V1513"/>
      <c r="W1513">
        <v>18</v>
      </c>
    </row>
    <row r="1514" spans="1:23">
      <c r="A1514"/>
      <c r="B1514" t="s">
        <v>121</v>
      </c>
      <c r="C1514" t="s">
        <v>121</v>
      </c>
      <c r="D1514" t="s">
        <v>37</v>
      </c>
      <c r="E1514" t="s">
        <v>38</v>
      </c>
      <c r="F1514" t="str">
        <f>"0001598"</f>
        <v>0001598</v>
      </c>
      <c r="G1514">
        <v>1</v>
      </c>
      <c r="H1514" t="str">
        <f>"00000000"</f>
        <v>00000000</v>
      </c>
      <c r="I1514" t="s">
        <v>39</v>
      </c>
      <c r="J1514"/>
      <c r="K1514">
        <v>381.36</v>
      </c>
      <c r="L1514">
        <v>0.0</v>
      </c>
      <c r="M1514"/>
      <c r="N1514"/>
      <c r="O1514">
        <v>68.64</v>
      </c>
      <c r="P1514">
        <v>0.0</v>
      </c>
      <c r="Q1514">
        <v>450.0</v>
      </c>
      <c r="R1514"/>
      <c r="S1514"/>
      <c r="T1514"/>
      <c r="U1514"/>
      <c r="V1514"/>
      <c r="W1514">
        <v>18</v>
      </c>
    </row>
    <row r="1515" spans="1:23">
      <c r="A1515"/>
      <c r="B1515" t="s">
        <v>121</v>
      </c>
      <c r="C1515" t="s">
        <v>121</v>
      </c>
      <c r="D1515" t="s">
        <v>37</v>
      </c>
      <c r="E1515" t="s">
        <v>38</v>
      </c>
      <c r="F1515" t="str">
        <f>"0001599"</f>
        <v>0001599</v>
      </c>
      <c r="G1515">
        <v>1</v>
      </c>
      <c r="H1515" t="str">
        <f>"00000000"</f>
        <v>00000000</v>
      </c>
      <c r="I1515" t="s">
        <v>39</v>
      </c>
      <c r="J1515"/>
      <c r="K1515">
        <v>381.36</v>
      </c>
      <c r="L1515">
        <v>0.0</v>
      </c>
      <c r="M1515"/>
      <c r="N1515"/>
      <c r="O1515">
        <v>68.64</v>
      </c>
      <c r="P1515">
        <v>0.0</v>
      </c>
      <c r="Q1515">
        <v>450.0</v>
      </c>
      <c r="R1515"/>
      <c r="S1515"/>
      <c r="T1515"/>
      <c r="U1515"/>
      <c r="V1515"/>
      <c r="W1515">
        <v>18</v>
      </c>
    </row>
    <row r="1516" spans="1:23">
      <c r="A1516"/>
      <c r="B1516" t="s">
        <v>121</v>
      </c>
      <c r="C1516" t="s">
        <v>121</v>
      </c>
      <c r="D1516" t="s">
        <v>37</v>
      </c>
      <c r="E1516" t="s">
        <v>38</v>
      </c>
      <c r="F1516" t="str">
        <f>"0001600"</f>
        <v>0001600</v>
      </c>
      <c r="G1516">
        <v>1</v>
      </c>
      <c r="H1516" t="str">
        <f>"00000000"</f>
        <v>00000000</v>
      </c>
      <c r="I1516" t="s">
        <v>39</v>
      </c>
      <c r="J1516"/>
      <c r="K1516">
        <v>338.98</v>
      </c>
      <c r="L1516">
        <v>0.0</v>
      </c>
      <c r="M1516"/>
      <c r="N1516"/>
      <c r="O1516">
        <v>61.02</v>
      </c>
      <c r="P1516">
        <v>0.0</v>
      </c>
      <c r="Q1516">
        <v>400.0</v>
      </c>
      <c r="R1516"/>
      <c r="S1516"/>
      <c r="T1516"/>
      <c r="U1516"/>
      <c r="V1516"/>
      <c r="W1516">
        <v>18</v>
      </c>
    </row>
    <row r="1517" spans="1:23">
      <c r="A1517"/>
      <c r="B1517" t="s">
        <v>121</v>
      </c>
      <c r="C1517" t="s">
        <v>121</v>
      </c>
      <c r="D1517" t="s">
        <v>37</v>
      </c>
      <c r="E1517" t="s">
        <v>38</v>
      </c>
      <c r="F1517" t="str">
        <f>"0001601"</f>
        <v>0001601</v>
      </c>
      <c r="G1517">
        <v>1</v>
      </c>
      <c r="H1517" t="str">
        <f>"00000000"</f>
        <v>00000000</v>
      </c>
      <c r="I1517" t="s">
        <v>39</v>
      </c>
      <c r="J1517"/>
      <c r="K1517">
        <v>415.25</v>
      </c>
      <c r="L1517">
        <v>0.0</v>
      </c>
      <c r="M1517"/>
      <c r="N1517"/>
      <c r="O1517">
        <v>74.75</v>
      </c>
      <c r="P1517">
        <v>0.0</v>
      </c>
      <c r="Q1517">
        <v>490.0</v>
      </c>
      <c r="R1517"/>
      <c r="S1517"/>
      <c r="T1517"/>
      <c r="U1517"/>
      <c r="V1517"/>
      <c r="W1517">
        <v>18</v>
      </c>
    </row>
    <row r="1518" spans="1:23">
      <c r="A1518"/>
      <c r="B1518" t="s">
        <v>121</v>
      </c>
      <c r="C1518" t="s">
        <v>121</v>
      </c>
      <c r="D1518" t="s">
        <v>37</v>
      </c>
      <c r="E1518" t="s">
        <v>38</v>
      </c>
      <c r="F1518" t="str">
        <f>"0001602"</f>
        <v>0001602</v>
      </c>
      <c r="G1518">
        <v>1</v>
      </c>
      <c r="H1518" t="str">
        <f>"00000000"</f>
        <v>00000000</v>
      </c>
      <c r="I1518" t="s">
        <v>39</v>
      </c>
      <c r="J1518"/>
      <c r="K1518">
        <v>330.51</v>
      </c>
      <c r="L1518">
        <v>0.0</v>
      </c>
      <c r="M1518"/>
      <c r="N1518"/>
      <c r="O1518">
        <v>59.49</v>
      </c>
      <c r="P1518">
        <v>0.0</v>
      </c>
      <c r="Q1518">
        <v>390.0</v>
      </c>
      <c r="R1518"/>
      <c r="S1518"/>
      <c r="T1518"/>
      <c r="U1518"/>
      <c r="V1518"/>
      <c r="W1518">
        <v>18</v>
      </c>
    </row>
    <row r="1519" spans="1:23">
      <c r="A1519"/>
      <c r="B1519" t="s">
        <v>121</v>
      </c>
      <c r="C1519" t="s">
        <v>121</v>
      </c>
      <c r="D1519" t="s">
        <v>37</v>
      </c>
      <c r="E1519" t="s">
        <v>38</v>
      </c>
      <c r="F1519" t="str">
        <f>"0001603"</f>
        <v>0001603</v>
      </c>
      <c r="G1519">
        <v>1</v>
      </c>
      <c r="H1519" t="str">
        <f>"00000000"</f>
        <v>00000000</v>
      </c>
      <c r="I1519" t="s">
        <v>39</v>
      </c>
      <c r="J1519"/>
      <c r="K1519">
        <v>355.93</v>
      </c>
      <c r="L1519">
        <v>0.0</v>
      </c>
      <c r="M1519"/>
      <c r="N1519"/>
      <c r="O1519">
        <v>64.07</v>
      </c>
      <c r="P1519">
        <v>0.0</v>
      </c>
      <c r="Q1519">
        <v>420.0</v>
      </c>
      <c r="R1519"/>
      <c r="S1519"/>
      <c r="T1519"/>
      <c r="U1519"/>
      <c r="V1519"/>
      <c r="W1519">
        <v>18</v>
      </c>
    </row>
    <row r="1520" spans="1:23">
      <c r="A1520"/>
      <c r="B1520" t="s">
        <v>121</v>
      </c>
      <c r="C1520" t="s">
        <v>121</v>
      </c>
      <c r="D1520" t="s">
        <v>37</v>
      </c>
      <c r="E1520" t="s">
        <v>38</v>
      </c>
      <c r="F1520" t="str">
        <f>"0001604"</f>
        <v>0001604</v>
      </c>
      <c r="G1520">
        <v>1</v>
      </c>
      <c r="H1520" t="str">
        <f>"00000000"</f>
        <v>00000000</v>
      </c>
      <c r="I1520" t="s">
        <v>39</v>
      </c>
      <c r="J1520"/>
      <c r="K1520">
        <v>322.03</v>
      </c>
      <c r="L1520">
        <v>0.0</v>
      </c>
      <c r="M1520"/>
      <c r="N1520"/>
      <c r="O1520">
        <v>57.97</v>
      </c>
      <c r="P1520">
        <v>0.0</v>
      </c>
      <c r="Q1520">
        <v>380.0</v>
      </c>
      <c r="R1520"/>
      <c r="S1520"/>
      <c r="T1520"/>
      <c r="U1520"/>
      <c r="V1520"/>
      <c r="W1520">
        <v>18</v>
      </c>
    </row>
    <row r="1521" spans="1:23">
      <c r="A1521"/>
      <c r="B1521" t="s">
        <v>121</v>
      </c>
      <c r="C1521" t="s">
        <v>121</v>
      </c>
      <c r="D1521" t="s">
        <v>37</v>
      </c>
      <c r="E1521" t="s">
        <v>38</v>
      </c>
      <c r="F1521" t="str">
        <f>"0001605"</f>
        <v>0001605</v>
      </c>
      <c r="G1521">
        <v>1</v>
      </c>
      <c r="H1521" t="str">
        <f>"00000000"</f>
        <v>00000000</v>
      </c>
      <c r="I1521" t="s">
        <v>39</v>
      </c>
      <c r="J1521"/>
      <c r="K1521">
        <v>381.36</v>
      </c>
      <c r="L1521">
        <v>0.0</v>
      </c>
      <c r="M1521"/>
      <c r="N1521"/>
      <c r="O1521">
        <v>68.64</v>
      </c>
      <c r="P1521">
        <v>0.0</v>
      </c>
      <c r="Q1521">
        <v>450.0</v>
      </c>
      <c r="R1521"/>
      <c r="S1521"/>
      <c r="T1521"/>
      <c r="U1521"/>
      <c r="V1521"/>
      <c r="W1521">
        <v>18</v>
      </c>
    </row>
    <row r="1522" spans="1:23">
      <c r="A1522"/>
      <c r="B1522" t="s">
        <v>121</v>
      </c>
      <c r="C1522" t="s">
        <v>121</v>
      </c>
      <c r="D1522" t="s">
        <v>37</v>
      </c>
      <c r="E1522" t="s">
        <v>38</v>
      </c>
      <c r="F1522" t="str">
        <f>"0001606"</f>
        <v>0001606</v>
      </c>
      <c r="G1522">
        <v>1</v>
      </c>
      <c r="H1522" t="str">
        <f>"00000000"</f>
        <v>00000000</v>
      </c>
      <c r="I1522" t="s">
        <v>39</v>
      </c>
      <c r="J1522"/>
      <c r="K1522">
        <v>423.73</v>
      </c>
      <c r="L1522">
        <v>0.0</v>
      </c>
      <c r="M1522"/>
      <c r="N1522"/>
      <c r="O1522">
        <v>76.27</v>
      </c>
      <c r="P1522">
        <v>0.0</v>
      </c>
      <c r="Q1522">
        <v>500.0</v>
      </c>
      <c r="R1522"/>
      <c r="S1522"/>
      <c r="T1522"/>
      <c r="U1522"/>
      <c r="V1522"/>
      <c r="W1522">
        <v>18</v>
      </c>
    </row>
    <row r="1523" spans="1:23">
      <c r="A1523"/>
      <c r="B1523" t="s">
        <v>121</v>
      </c>
      <c r="C1523" t="s">
        <v>121</v>
      </c>
      <c r="D1523" t="s">
        <v>37</v>
      </c>
      <c r="E1523" t="s">
        <v>38</v>
      </c>
      <c r="F1523" t="str">
        <f>"0001607"</f>
        <v>0001607</v>
      </c>
      <c r="G1523">
        <v>1</v>
      </c>
      <c r="H1523" t="str">
        <f>"00000000"</f>
        <v>00000000</v>
      </c>
      <c r="I1523" t="s">
        <v>39</v>
      </c>
      <c r="J1523"/>
      <c r="K1523">
        <v>381.36</v>
      </c>
      <c r="L1523">
        <v>0.0</v>
      </c>
      <c r="M1523"/>
      <c r="N1523"/>
      <c r="O1523">
        <v>68.64</v>
      </c>
      <c r="P1523">
        <v>0.0</v>
      </c>
      <c r="Q1523">
        <v>450.0</v>
      </c>
      <c r="R1523"/>
      <c r="S1523"/>
      <c r="T1523"/>
      <c r="U1523"/>
      <c r="V1523"/>
      <c r="W1523">
        <v>18</v>
      </c>
    </row>
    <row r="1524" spans="1:23">
      <c r="A1524"/>
      <c r="B1524" t="s">
        <v>121</v>
      </c>
      <c r="C1524" t="s">
        <v>121</v>
      </c>
      <c r="D1524" t="s">
        <v>37</v>
      </c>
      <c r="E1524" t="s">
        <v>38</v>
      </c>
      <c r="F1524" t="str">
        <f>"0001608"</f>
        <v>0001608</v>
      </c>
      <c r="G1524">
        <v>1</v>
      </c>
      <c r="H1524" t="str">
        <f>"00000000"</f>
        <v>00000000</v>
      </c>
      <c r="I1524" t="s">
        <v>39</v>
      </c>
      <c r="J1524"/>
      <c r="K1524">
        <v>296.61</v>
      </c>
      <c r="L1524">
        <v>0.0</v>
      </c>
      <c r="M1524"/>
      <c r="N1524"/>
      <c r="O1524">
        <v>53.39</v>
      </c>
      <c r="P1524">
        <v>0.0</v>
      </c>
      <c r="Q1524">
        <v>350.0</v>
      </c>
      <c r="R1524"/>
      <c r="S1524"/>
      <c r="T1524"/>
      <c r="U1524"/>
      <c r="V1524"/>
      <c r="W1524">
        <v>18</v>
      </c>
    </row>
    <row r="1525" spans="1:23">
      <c r="A1525"/>
      <c r="B1525" t="s">
        <v>121</v>
      </c>
      <c r="C1525" t="s">
        <v>121</v>
      </c>
      <c r="D1525" t="s">
        <v>37</v>
      </c>
      <c r="E1525" t="s">
        <v>38</v>
      </c>
      <c r="F1525" t="str">
        <f>"0001609"</f>
        <v>0001609</v>
      </c>
      <c r="G1525">
        <v>1</v>
      </c>
      <c r="H1525" t="str">
        <f>"00000000"</f>
        <v>00000000</v>
      </c>
      <c r="I1525" t="s">
        <v>39</v>
      </c>
      <c r="J1525"/>
      <c r="K1525">
        <v>322.03</v>
      </c>
      <c r="L1525">
        <v>0.0</v>
      </c>
      <c r="M1525"/>
      <c r="N1525"/>
      <c r="O1525">
        <v>57.97</v>
      </c>
      <c r="P1525">
        <v>0.0</v>
      </c>
      <c r="Q1525">
        <v>380.0</v>
      </c>
      <c r="R1525"/>
      <c r="S1525"/>
      <c r="T1525"/>
      <c r="U1525"/>
      <c r="V1525"/>
      <c r="W1525">
        <v>18</v>
      </c>
    </row>
    <row r="1526" spans="1:23">
      <c r="A1526"/>
      <c r="B1526" t="s">
        <v>121</v>
      </c>
      <c r="C1526" t="s">
        <v>121</v>
      </c>
      <c r="D1526" t="s">
        <v>37</v>
      </c>
      <c r="E1526" t="s">
        <v>38</v>
      </c>
      <c r="F1526" t="str">
        <f>"0001610"</f>
        <v>0001610</v>
      </c>
      <c r="G1526">
        <v>1</v>
      </c>
      <c r="H1526" t="str">
        <f>"00000000"</f>
        <v>00000000</v>
      </c>
      <c r="I1526" t="s">
        <v>39</v>
      </c>
      <c r="J1526"/>
      <c r="K1526">
        <v>372.88</v>
      </c>
      <c r="L1526">
        <v>0.0</v>
      </c>
      <c r="M1526"/>
      <c r="N1526"/>
      <c r="O1526">
        <v>67.12</v>
      </c>
      <c r="P1526">
        <v>0.0</v>
      </c>
      <c r="Q1526">
        <v>440.0</v>
      </c>
      <c r="R1526"/>
      <c r="S1526"/>
      <c r="T1526"/>
      <c r="U1526"/>
      <c r="V1526"/>
      <c r="W1526">
        <v>18</v>
      </c>
    </row>
    <row r="1527" spans="1:23">
      <c r="A1527"/>
      <c r="B1527" t="s">
        <v>121</v>
      </c>
      <c r="C1527" t="s">
        <v>121</v>
      </c>
      <c r="D1527" t="s">
        <v>37</v>
      </c>
      <c r="E1527" t="s">
        <v>38</v>
      </c>
      <c r="F1527" t="str">
        <f>"0001611"</f>
        <v>0001611</v>
      </c>
      <c r="G1527">
        <v>1</v>
      </c>
      <c r="H1527" t="str">
        <f>"00000000"</f>
        <v>00000000</v>
      </c>
      <c r="I1527" t="s">
        <v>39</v>
      </c>
      <c r="J1527"/>
      <c r="K1527">
        <v>372.88</v>
      </c>
      <c r="L1527">
        <v>0.0</v>
      </c>
      <c r="M1527"/>
      <c r="N1527"/>
      <c r="O1527">
        <v>67.12</v>
      </c>
      <c r="P1527">
        <v>0.0</v>
      </c>
      <c r="Q1527">
        <v>440.0</v>
      </c>
      <c r="R1527"/>
      <c r="S1527"/>
      <c r="T1527"/>
      <c r="U1527"/>
      <c r="V1527"/>
      <c r="W1527">
        <v>18</v>
      </c>
    </row>
    <row r="1528" spans="1:23">
      <c r="A1528"/>
      <c r="B1528" t="s">
        <v>121</v>
      </c>
      <c r="C1528" t="s">
        <v>121</v>
      </c>
      <c r="D1528" t="s">
        <v>37</v>
      </c>
      <c r="E1528" t="s">
        <v>38</v>
      </c>
      <c r="F1528" t="str">
        <f>"0001612"</f>
        <v>0001612</v>
      </c>
      <c r="G1528">
        <v>1</v>
      </c>
      <c r="H1528" t="str">
        <f>"00000000"</f>
        <v>00000000</v>
      </c>
      <c r="I1528" t="s">
        <v>39</v>
      </c>
      <c r="J1528"/>
      <c r="K1528">
        <v>423.73</v>
      </c>
      <c r="L1528">
        <v>0.0</v>
      </c>
      <c r="M1528"/>
      <c r="N1528"/>
      <c r="O1528">
        <v>76.27</v>
      </c>
      <c r="P1528">
        <v>0.0</v>
      </c>
      <c r="Q1528">
        <v>500.0</v>
      </c>
      <c r="R1528"/>
      <c r="S1528"/>
      <c r="T1528"/>
      <c r="U1528"/>
      <c r="V1528"/>
      <c r="W1528">
        <v>18</v>
      </c>
    </row>
    <row r="1529" spans="1:23">
      <c r="A1529"/>
      <c r="B1529" t="s">
        <v>121</v>
      </c>
      <c r="C1529" t="s">
        <v>121</v>
      </c>
      <c r="D1529" t="s">
        <v>37</v>
      </c>
      <c r="E1529" t="s">
        <v>38</v>
      </c>
      <c r="F1529" t="str">
        <f>"0001613"</f>
        <v>0001613</v>
      </c>
      <c r="G1529">
        <v>1</v>
      </c>
      <c r="H1529" t="str">
        <f>"00000000"</f>
        <v>00000000</v>
      </c>
      <c r="I1529" t="s">
        <v>39</v>
      </c>
      <c r="J1529"/>
      <c r="K1529">
        <v>423.73</v>
      </c>
      <c r="L1529">
        <v>0.0</v>
      </c>
      <c r="M1529"/>
      <c r="N1529"/>
      <c r="O1529">
        <v>76.27</v>
      </c>
      <c r="P1529">
        <v>0.0</v>
      </c>
      <c r="Q1529">
        <v>500.0</v>
      </c>
      <c r="R1529"/>
      <c r="S1529"/>
      <c r="T1529"/>
      <c r="U1529"/>
      <c r="V1529"/>
      <c r="W1529">
        <v>18</v>
      </c>
    </row>
    <row r="1530" spans="1:23">
      <c r="A1530"/>
      <c r="B1530" t="s">
        <v>121</v>
      </c>
      <c r="C1530" t="s">
        <v>121</v>
      </c>
      <c r="D1530" t="s">
        <v>37</v>
      </c>
      <c r="E1530" t="s">
        <v>38</v>
      </c>
      <c r="F1530" t="str">
        <f>"0001614"</f>
        <v>0001614</v>
      </c>
      <c r="G1530">
        <v>1</v>
      </c>
      <c r="H1530" t="str">
        <f>"00000000"</f>
        <v>00000000</v>
      </c>
      <c r="I1530" t="s">
        <v>39</v>
      </c>
      <c r="J1530"/>
      <c r="K1530">
        <v>305.08</v>
      </c>
      <c r="L1530">
        <v>0.0</v>
      </c>
      <c r="M1530"/>
      <c r="N1530"/>
      <c r="O1530">
        <v>54.92</v>
      </c>
      <c r="P1530">
        <v>0.0</v>
      </c>
      <c r="Q1530">
        <v>360.0</v>
      </c>
      <c r="R1530"/>
      <c r="S1530"/>
      <c r="T1530"/>
      <c r="U1530"/>
      <c r="V1530"/>
      <c r="W1530">
        <v>18</v>
      </c>
    </row>
    <row r="1531" spans="1:23">
      <c r="A1531"/>
      <c r="B1531" t="s">
        <v>121</v>
      </c>
      <c r="C1531" t="s">
        <v>121</v>
      </c>
      <c r="D1531" t="s">
        <v>37</v>
      </c>
      <c r="E1531" t="s">
        <v>38</v>
      </c>
      <c r="F1531" t="str">
        <f>"0001615"</f>
        <v>0001615</v>
      </c>
      <c r="G1531">
        <v>1</v>
      </c>
      <c r="H1531" t="str">
        <f>"00000000"</f>
        <v>00000000</v>
      </c>
      <c r="I1531" t="s">
        <v>39</v>
      </c>
      <c r="J1531"/>
      <c r="K1531">
        <v>406.78</v>
      </c>
      <c r="L1531">
        <v>0.0</v>
      </c>
      <c r="M1531"/>
      <c r="N1531"/>
      <c r="O1531">
        <v>73.22</v>
      </c>
      <c r="P1531">
        <v>0.0</v>
      </c>
      <c r="Q1531">
        <v>480.0</v>
      </c>
      <c r="R1531"/>
      <c r="S1531"/>
      <c r="T1531"/>
      <c r="U1531"/>
      <c r="V1531"/>
      <c r="W1531">
        <v>18</v>
      </c>
    </row>
    <row r="1532" spans="1:23">
      <c r="A1532"/>
      <c r="B1532" t="s">
        <v>121</v>
      </c>
      <c r="C1532" t="s">
        <v>121</v>
      </c>
      <c r="D1532" t="s">
        <v>37</v>
      </c>
      <c r="E1532" t="s">
        <v>38</v>
      </c>
      <c r="F1532" t="str">
        <f>"0001616"</f>
        <v>0001616</v>
      </c>
      <c r="G1532">
        <v>1</v>
      </c>
      <c r="H1532" t="str">
        <f>"00000000"</f>
        <v>00000000</v>
      </c>
      <c r="I1532" t="s">
        <v>39</v>
      </c>
      <c r="J1532"/>
      <c r="K1532">
        <v>296.61</v>
      </c>
      <c r="L1532">
        <v>0.0</v>
      </c>
      <c r="M1532"/>
      <c r="N1532"/>
      <c r="O1532">
        <v>53.39</v>
      </c>
      <c r="P1532">
        <v>0.0</v>
      </c>
      <c r="Q1532">
        <v>350.0</v>
      </c>
      <c r="R1532"/>
      <c r="S1532"/>
      <c r="T1532"/>
      <c r="U1532"/>
      <c r="V1532"/>
      <c r="W1532">
        <v>18</v>
      </c>
    </row>
    <row r="1533" spans="1:23">
      <c r="A1533"/>
      <c r="B1533" t="s">
        <v>121</v>
      </c>
      <c r="C1533" t="s">
        <v>121</v>
      </c>
      <c r="D1533" t="s">
        <v>37</v>
      </c>
      <c r="E1533" t="s">
        <v>38</v>
      </c>
      <c r="F1533" t="str">
        <f>"0001617"</f>
        <v>0001617</v>
      </c>
      <c r="G1533">
        <v>1</v>
      </c>
      <c r="H1533" t="str">
        <f>"00000000"</f>
        <v>00000000</v>
      </c>
      <c r="I1533" t="s">
        <v>39</v>
      </c>
      <c r="J1533"/>
      <c r="K1533">
        <v>355.93</v>
      </c>
      <c r="L1533">
        <v>0.0</v>
      </c>
      <c r="M1533"/>
      <c r="N1533"/>
      <c r="O1533">
        <v>64.07</v>
      </c>
      <c r="P1533">
        <v>0.0</v>
      </c>
      <c r="Q1533">
        <v>420.0</v>
      </c>
      <c r="R1533"/>
      <c r="S1533"/>
      <c r="T1533"/>
      <c r="U1533"/>
      <c r="V1533"/>
      <c r="W1533">
        <v>18</v>
      </c>
    </row>
    <row r="1534" spans="1:23">
      <c r="A1534"/>
      <c r="B1534" t="s">
        <v>121</v>
      </c>
      <c r="C1534" t="s">
        <v>121</v>
      </c>
      <c r="D1534" t="s">
        <v>37</v>
      </c>
      <c r="E1534" t="s">
        <v>38</v>
      </c>
      <c r="F1534" t="str">
        <f>"0001618"</f>
        <v>0001618</v>
      </c>
      <c r="G1534">
        <v>1</v>
      </c>
      <c r="H1534" t="str">
        <f>"00000000"</f>
        <v>00000000</v>
      </c>
      <c r="I1534" t="s">
        <v>39</v>
      </c>
      <c r="J1534"/>
      <c r="K1534">
        <v>406.78</v>
      </c>
      <c r="L1534">
        <v>0.0</v>
      </c>
      <c r="M1534"/>
      <c r="N1534"/>
      <c r="O1534">
        <v>73.22</v>
      </c>
      <c r="P1534">
        <v>0.0</v>
      </c>
      <c r="Q1534">
        <v>480.0</v>
      </c>
      <c r="R1534"/>
      <c r="S1534"/>
      <c r="T1534"/>
      <c r="U1534"/>
      <c r="V1534"/>
      <c r="W1534">
        <v>18</v>
      </c>
    </row>
    <row r="1535" spans="1:23">
      <c r="A1535"/>
      <c r="B1535" t="s">
        <v>121</v>
      </c>
      <c r="C1535" t="s">
        <v>121</v>
      </c>
      <c r="D1535" t="s">
        <v>37</v>
      </c>
      <c r="E1535" t="s">
        <v>38</v>
      </c>
      <c r="F1535" t="str">
        <f>"0001619"</f>
        <v>0001619</v>
      </c>
      <c r="G1535">
        <v>1</v>
      </c>
      <c r="H1535" t="str">
        <f>"00000000"</f>
        <v>00000000</v>
      </c>
      <c r="I1535" t="s">
        <v>39</v>
      </c>
      <c r="J1535"/>
      <c r="K1535">
        <v>381.36</v>
      </c>
      <c r="L1535">
        <v>0.0</v>
      </c>
      <c r="M1535"/>
      <c r="N1535"/>
      <c r="O1535">
        <v>68.64</v>
      </c>
      <c r="P1535">
        <v>0.0</v>
      </c>
      <c r="Q1535">
        <v>450.0</v>
      </c>
      <c r="R1535"/>
      <c r="S1535"/>
      <c r="T1535"/>
      <c r="U1535"/>
      <c r="V1535"/>
      <c r="W1535">
        <v>18</v>
      </c>
    </row>
    <row r="1536" spans="1:23">
      <c r="A1536"/>
      <c r="B1536" t="s">
        <v>121</v>
      </c>
      <c r="C1536" t="s">
        <v>121</v>
      </c>
      <c r="D1536" t="s">
        <v>37</v>
      </c>
      <c r="E1536" t="s">
        <v>38</v>
      </c>
      <c r="F1536" t="str">
        <f>"0001620"</f>
        <v>0001620</v>
      </c>
      <c r="G1536">
        <v>1</v>
      </c>
      <c r="H1536" t="str">
        <f>"00000000"</f>
        <v>00000000</v>
      </c>
      <c r="I1536" t="s">
        <v>39</v>
      </c>
      <c r="J1536"/>
      <c r="K1536">
        <v>338.98</v>
      </c>
      <c r="L1536">
        <v>0.0</v>
      </c>
      <c r="M1536"/>
      <c r="N1536"/>
      <c r="O1536">
        <v>61.02</v>
      </c>
      <c r="P1536">
        <v>0.0</v>
      </c>
      <c r="Q1536">
        <v>400.0</v>
      </c>
      <c r="R1536"/>
      <c r="S1536"/>
      <c r="T1536"/>
      <c r="U1536"/>
      <c r="V1536"/>
      <c r="W1536">
        <v>18</v>
      </c>
    </row>
    <row r="1537" spans="1:23">
      <c r="A1537"/>
      <c r="B1537" t="s">
        <v>121</v>
      </c>
      <c r="C1537" t="s">
        <v>121</v>
      </c>
      <c r="D1537" t="s">
        <v>37</v>
      </c>
      <c r="E1537" t="s">
        <v>38</v>
      </c>
      <c r="F1537" t="str">
        <f>"0001621"</f>
        <v>0001621</v>
      </c>
      <c r="G1537">
        <v>1</v>
      </c>
      <c r="H1537" t="str">
        <f>"00000000"</f>
        <v>00000000</v>
      </c>
      <c r="I1537" t="s">
        <v>39</v>
      </c>
      <c r="J1537"/>
      <c r="K1537">
        <v>254.24</v>
      </c>
      <c r="L1537">
        <v>0.0</v>
      </c>
      <c r="M1537"/>
      <c r="N1537"/>
      <c r="O1537">
        <v>45.76</v>
      </c>
      <c r="P1537">
        <v>0.0</v>
      </c>
      <c r="Q1537">
        <v>300.0</v>
      </c>
      <c r="R1537"/>
      <c r="S1537"/>
      <c r="T1537"/>
      <c r="U1537"/>
      <c r="V1537"/>
      <c r="W1537">
        <v>18</v>
      </c>
    </row>
    <row r="1538" spans="1:23">
      <c r="A1538"/>
      <c r="B1538" t="s">
        <v>121</v>
      </c>
      <c r="C1538" t="s">
        <v>121</v>
      </c>
      <c r="D1538" t="s">
        <v>37</v>
      </c>
      <c r="E1538" t="s">
        <v>38</v>
      </c>
      <c r="F1538" t="str">
        <f>"0001622"</f>
        <v>0001622</v>
      </c>
      <c r="G1538">
        <v>1</v>
      </c>
      <c r="H1538" t="str">
        <f>"00000000"</f>
        <v>00000000</v>
      </c>
      <c r="I1538" t="s">
        <v>39</v>
      </c>
      <c r="J1538"/>
      <c r="K1538">
        <v>322.03</v>
      </c>
      <c r="L1538">
        <v>0.0</v>
      </c>
      <c r="M1538"/>
      <c r="N1538"/>
      <c r="O1538">
        <v>57.97</v>
      </c>
      <c r="P1538">
        <v>0.0</v>
      </c>
      <c r="Q1538">
        <v>380.0</v>
      </c>
      <c r="R1538"/>
      <c r="S1538"/>
      <c r="T1538"/>
      <c r="U1538"/>
      <c r="V1538"/>
      <c r="W1538">
        <v>18</v>
      </c>
    </row>
    <row r="1539" spans="1:23">
      <c r="A1539"/>
      <c r="B1539" t="s">
        <v>121</v>
      </c>
      <c r="C1539" t="s">
        <v>121</v>
      </c>
      <c r="D1539" t="s">
        <v>37</v>
      </c>
      <c r="E1539" t="s">
        <v>38</v>
      </c>
      <c r="F1539" t="str">
        <f>"0001623"</f>
        <v>0001623</v>
      </c>
      <c r="G1539">
        <v>1</v>
      </c>
      <c r="H1539" t="str">
        <f>"00000000"</f>
        <v>00000000</v>
      </c>
      <c r="I1539" t="s">
        <v>39</v>
      </c>
      <c r="J1539"/>
      <c r="K1539">
        <v>398.31</v>
      </c>
      <c r="L1539">
        <v>0.0</v>
      </c>
      <c r="M1539"/>
      <c r="N1539"/>
      <c r="O1539">
        <v>71.69</v>
      </c>
      <c r="P1539">
        <v>0.0</v>
      </c>
      <c r="Q1539">
        <v>470.0</v>
      </c>
      <c r="R1539"/>
      <c r="S1539"/>
      <c r="T1539"/>
      <c r="U1539"/>
      <c r="V1539"/>
      <c r="W1539">
        <v>18</v>
      </c>
    </row>
    <row r="1540" spans="1:23">
      <c r="A1540"/>
      <c r="B1540" t="s">
        <v>121</v>
      </c>
      <c r="C1540" t="s">
        <v>121</v>
      </c>
      <c r="D1540" t="s">
        <v>37</v>
      </c>
      <c r="E1540" t="s">
        <v>38</v>
      </c>
      <c r="F1540" t="str">
        <f>"0001624"</f>
        <v>0001624</v>
      </c>
      <c r="G1540">
        <v>1</v>
      </c>
      <c r="H1540" t="str">
        <f>"00000000"</f>
        <v>00000000</v>
      </c>
      <c r="I1540" t="s">
        <v>39</v>
      </c>
      <c r="J1540"/>
      <c r="K1540">
        <v>338.98</v>
      </c>
      <c r="L1540">
        <v>0.0</v>
      </c>
      <c r="M1540"/>
      <c r="N1540"/>
      <c r="O1540">
        <v>61.02</v>
      </c>
      <c r="P1540">
        <v>0.0</v>
      </c>
      <c r="Q1540">
        <v>400.0</v>
      </c>
      <c r="R1540"/>
      <c r="S1540"/>
      <c r="T1540"/>
      <c r="U1540"/>
      <c r="V1540"/>
      <c r="W1540">
        <v>18</v>
      </c>
    </row>
    <row r="1541" spans="1:23">
      <c r="A1541"/>
      <c r="B1541" t="s">
        <v>122</v>
      </c>
      <c r="C1541" t="s">
        <v>122</v>
      </c>
      <c r="D1541" t="s">
        <v>33</v>
      </c>
      <c r="E1541" t="s">
        <v>34</v>
      </c>
      <c r="F1541" t="str">
        <f>"0000049"</f>
        <v>0000049</v>
      </c>
      <c r="G1541">
        <v>6</v>
      </c>
      <c r="H1541" t="str">
        <f>"20600595521"</f>
        <v>20600595521</v>
      </c>
      <c r="I1541" t="s">
        <v>123</v>
      </c>
      <c r="J1541"/>
      <c r="K1541">
        <v>915.25</v>
      </c>
      <c r="L1541">
        <v>0.0</v>
      </c>
      <c r="M1541"/>
      <c r="N1541"/>
      <c r="O1541">
        <v>164.75</v>
      </c>
      <c r="P1541">
        <v>0.0</v>
      </c>
      <c r="Q1541">
        <v>1080.0</v>
      </c>
      <c r="R1541"/>
      <c r="S1541"/>
      <c r="T1541"/>
      <c r="U1541"/>
      <c r="V1541"/>
      <c r="W1541">
        <v>18</v>
      </c>
    </row>
    <row r="1542" spans="1:23">
      <c r="A1542"/>
      <c r="B1542" t="s">
        <v>124</v>
      </c>
      <c r="C1542" t="s">
        <v>124</v>
      </c>
      <c r="D1542" t="s">
        <v>33</v>
      </c>
      <c r="E1542" t="s">
        <v>34</v>
      </c>
      <c r="F1542" t="str">
        <f>"0000050"</f>
        <v>0000050</v>
      </c>
      <c r="G1542">
        <v>6</v>
      </c>
      <c r="H1542" t="str">
        <f>"20487515125"</f>
        <v>20487515125</v>
      </c>
      <c r="I1542" t="s">
        <v>125</v>
      </c>
      <c r="J1542"/>
      <c r="K1542">
        <v>288.14</v>
      </c>
      <c r="L1542">
        <v>0.0</v>
      </c>
      <c r="M1542"/>
      <c r="N1542"/>
      <c r="O1542">
        <v>51.86</v>
      </c>
      <c r="P1542">
        <v>0.0</v>
      </c>
      <c r="Q1542">
        <v>340.0</v>
      </c>
      <c r="R1542"/>
      <c r="S1542"/>
      <c r="T1542"/>
      <c r="U1542"/>
      <c r="V1542"/>
      <c r="W1542">
        <v>18</v>
      </c>
    </row>
    <row r="1543" spans="1:23">
      <c r="A1543"/>
      <c r="B1543" t="s">
        <v>126</v>
      </c>
      <c r="C1543" t="s">
        <v>126</v>
      </c>
      <c r="D1543" t="s">
        <v>33</v>
      </c>
      <c r="E1543" t="s">
        <v>34</v>
      </c>
      <c r="F1543" t="str">
        <f>"0000051"</f>
        <v>0000051</v>
      </c>
      <c r="G1543">
        <v>6</v>
      </c>
      <c r="H1543" t="str">
        <f>"20487515125"</f>
        <v>20487515125</v>
      </c>
      <c r="I1543" t="s">
        <v>125</v>
      </c>
      <c r="J1543"/>
      <c r="K1543">
        <v>288.14</v>
      </c>
      <c r="L1543">
        <v>0.0</v>
      </c>
      <c r="M1543"/>
      <c r="N1543"/>
      <c r="O1543">
        <v>51.86</v>
      </c>
      <c r="P1543">
        <v>0.0</v>
      </c>
      <c r="Q1543">
        <v>340.0</v>
      </c>
      <c r="R1543"/>
      <c r="S1543"/>
      <c r="T1543"/>
      <c r="U1543"/>
      <c r="V1543"/>
      <c r="W1543">
        <v>18</v>
      </c>
    </row>
    <row r="1544" spans="1:23">
      <c r="A1544"/>
      <c r="B1544" t="s">
        <v>127</v>
      </c>
      <c r="C1544" t="s">
        <v>127</v>
      </c>
      <c r="D1544" t="s">
        <v>37</v>
      </c>
      <c r="E1544" t="s">
        <v>38</v>
      </c>
      <c r="F1544" t="str">
        <f>"0001625"</f>
        <v>0001625</v>
      </c>
      <c r="G1544">
        <v>1</v>
      </c>
      <c r="H1544" t="str">
        <f>"74094557"</f>
        <v>74094557</v>
      </c>
      <c r="I1544" t="s">
        <v>128</v>
      </c>
      <c r="J1544"/>
      <c r="K1544">
        <v>2476.53</v>
      </c>
      <c r="L1544">
        <v>0.0</v>
      </c>
      <c r="M1544"/>
      <c r="N1544"/>
      <c r="O1544">
        <v>445.77</v>
      </c>
      <c r="P1544">
        <v>0.0</v>
      </c>
      <c r="Q1544">
        <v>2922.3</v>
      </c>
      <c r="R1544"/>
      <c r="S1544"/>
      <c r="T1544"/>
      <c r="U1544"/>
      <c r="V1544"/>
      <c r="W1544">
        <v>18</v>
      </c>
    </row>
    <row r="1545" spans="1:23">
      <c r="A1545"/>
      <c r="B1545" t="s">
        <v>129</v>
      </c>
      <c r="C1545" t="s">
        <v>129</v>
      </c>
      <c r="D1545" t="s">
        <v>33</v>
      </c>
      <c r="E1545" t="s">
        <v>34</v>
      </c>
      <c r="F1545" t="str">
        <f>"0000052"</f>
        <v>0000052</v>
      </c>
      <c r="G1545">
        <v>6</v>
      </c>
      <c r="H1545" t="str">
        <f>"20488085493"</f>
        <v>20488085493</v>
      </c>
      <c r="I1545" t="s">
        <v>130</v>
      </c>
      <c r="J1545"/>
      <c r="K1545">
        <v>559.32</v>
      </c>
      <c r="L1545">
        <v>0.0</v>
      </c>
      <c r="M1545"/>
      <c r="N1545"/>
      <c r="O1545">
        <v>100.68</v>
      </c>
      <c r="P1545">
        <v>0.0</v>
      </c>
      <c r="Q1545">
        <v>660.0</v>
      </c>
      <c r="R1545"/>
      <c r="S1545"/>
      <c r="T1545"/>
      <c r="U1545"/>
      <c r="V1545"/>
      <c r="W1545">
        <v>18</v>
      </c>
    </row>
    <row r="1546" spans="1:23">
      <c r="A1546"/>
      <c r="B1546" t="s">
        <v>131</v>
      </c>
      <c r="C1546" t="s">
        <v>131</v>
      </c>
      <c r="D1546" t="s">
        <v>33</v>
      </c>
      <c r="E1546" t="s">
        <v>34</v>
      </c>
      <c r="F1546" t="str">
        <f>"0000053"</f>
        <v>0000053</v>
      </c>
      <c r="G1546">
        <v>6</v>
      </c>
      <c r="H1546" t="str">
        <f>"20479378763"</f>
        <v>20479378763</v>
      </c>
      <c r="I1546" t="s">
        <v>51</v>
      </c>
      <c r="J1546"/>
      <c r="K1546">
        <v>1173.73</v>
      </c>
      <c r="L1546">
        <v>0.0</v>
      </c>
      <c r="M1546"/>
      <c r="N1546"/>
      <c r="O1546">
        <v>211.27</v>
      </c>
      <c r="P1546">
        <v>0.0</v>
      </c>
      <c r="Q1546">
        <v>1385.0</v>
      </c>
      <c r="R1546"/>
      <c r="S1546"/>
      <c r="T1546"/>
      <c r="U1546"/>
      <c r="V1546"/>
      <c r="W1546">
        <v>18</v>
      </c>
    </row>
    <row r="1547" spans="1:23">
      <c r="A1547"/>
      <c r="B1547" t="s">
        <v>132</v>
      </c>
      <c r="C1547" t="s">
        <v>132</v>
      </c>
      <c r="D1547" t="s">
        <v>33</v>
      </c>
      <c r="E1547" t="s">
        <v>34</v>
      </c>
      <c r="F1547" t="str">
        <f>"0000054"</f>
        <v>0000054</v>
      </c>
      <c r="G1547">
        <v>6</v>
      </c>
      <c r="H1547" t="str">
        <f>"20608391232"</f>
        <v>20608391232</v>
      </c>
      <c r="I1547" t="s">
        <v>133</v>
      </c>
      <c r="J1547"/>
      <c r="K1547">
        <v>271.19</v>
      </c>
      <c r="L1547">
        <v>0.0</v>
      </c>
      <c r="M1547"/>
      <c r="N1547"/>
      <c r="O1547">
        <v>48.81</v>
      </c>
      <c r="P1547">
        <v>0.0</v>
      </c>
      <c r="Q1547">
        <v>320.0</v>
      </c>
      <c r="R1547"/>
      <c r="S1547"/>
      <c r="T1547"/>
      <c r="U1547"/>
      <c r="V1547"/>
      <c r="W1547">
        <v>18</v>
      </c>
    </row>
    <row r="1548" spans="1:23">
      <c r="A1548"/>
      <c r="B1548" t="s">
        <v>132</v>
      </c>
      <c r="C1548" t="s">
        <v>132</v>
      </c>
      <c r="D1548" t="s">
        <v>37</v>
      </c>
      <c r="E1548" t="s">
        <v>38</v>
      </c>
      <c r="F1548" t="str">
        <f>"0001626"</f>
        <v>0001626</v>
      </c>
      <c r="G1548">
        <v>1</v>
      </c>
      <c r="H1548" t="str">
        <f>"00000000"</f>
        <v>00000000</v>
      </c>
      <c r="I1548" t="s">
        <v>39</v>
      </c>
      <c r="J1548"/>
      <c r="K1548">
        <v>381.36</v>
      </c>
      <c r="L1548">
        <v>0.0</v>
      </c>
      <c r="M1548"/>
      <c r="N1548"/>
      <c r="O1548">
        <v>68.64</v>
      </c>
      <c r="P1548">
        <v>0.0</v>
      </c>
      <c r="Q1548">
        <v>450.0</v>
      </c>
      <c r="R1548"/>
      <c r="S1548"/>
      <c r="T1548"/>
      <c r="U1548"/>
      <c r="V1548"/>
      <c r="W1548">
        <v>18</v>
      </c>
    </row>
    <row r="1549" spans="1:23">
      <c r="A1549"/>
      <c r="B1549" t="s">
        <v>132</v>
      </c>
      <c r="C1549" t="s">
        <v>132</v>
      </c>
      <c r="D1549" t="s">
        <v>37</v>
      </c>
      <c r="E1549" t="s">
        <v>38</v>
      </c>
      <c r="F1549" t="str">
        <f>"0001627"</f>
        <v>0001627</v>
      </c>
      <c r="G1549">
        <v>1</v>
      </c>
      <c r="H1549" t="str">
        <f>"00000000"</f>
        <v>00000000</v>
      </c>
      <c r="I1549" t="s">
        <v>39</v>
      </c>
      <c r="J1549"/>
      <c r="K1549">
        <v>423.73</v>
      </c>
      <c r="L1549">
        <v>0.0</v>
      </c>
      <c r="M1549"/>
      <c r="N1549"/>
      <c r="O1549">
        <v>76.27</v>
      </c>
      <c r="P1549">
        <v>0.0</v>
      </c>
      <c r="Q1549">
        <v>500.0</v>
      </c>
      <c r="R1549"/>
      <c r="S1549"/>
      <c r="T1549"/>
      <c r="U1549"/>
      <c r="V1549"/>
      <c r="W1549">
        <v>18</v>
      </c>
    </row>
    <row r="1550" spans="1:23">
      <c r="A1550"/>
      <c r="B1550" t="s">
        <v>132</v>
      </c>
      <c r="C1550" t="s">
        <v>132</v>
      </c>
      <c r="D1550" t="s">
        <v>37</v>
      </c>
      <c r="E1550" t="s">
        <v>38</v>
      </c>
      <c r="F1550" t="str">
        <f>"0001628"</f>
        <v>0001628</v>
      </c>
      <c r="G1550">
        <v>1</v>
      </c>
      <c r="H1550" t="str">
        <f>"00000000"</f>
        <v>00000000</v>
      </c>
      <c r="I1550" t="s">
        <v>39</v>
      </c>
      <c r="J1550"/>
      <c r="K1550">
        <v>406.78</v>
      </c>
      <c r="L1550">
        <v>0.0</v>
      </c>
      <c r="M1550"/>
      <c r="N1550"/>
      <c r="O1550">
        <v>73.22</v>
      </c>
      <c r="P1550">
        <v>0.0</v>
      </c>
      <c r="Q1550">
        <v>480.0</v>
      </c>
      <c r="R1550"/>
      <c r="S1550"/>
      <c r="T1550"/>
      <c r="U1550"/>
      <c r="V1550"/>
      <c r="W1550">
        <v>18</v>
      </c>
    </row>
    <row r="1551" spans="1:23">
      <c r="A1551"/>
      <c r="B1551" t="s">
        <v>132</v>
      </c>
      <c r="C1551" t="s">
        <v>132</v>
      </c>
      <c r="D1551" t="s">
        <v>37</v>
      </c>
      <c r="E1551" t="s">
        <v>38</v>
      </c>
      <c r="F1551" t="str">
        <f>"0001629"</f>
        <v>0001629</v>
      </c>
      <c r="G1551">
        <v>1</v>
      </c>
      <c r="H1551" t="str">
        <f>"00000000"</f>
        <v>00000000</v>
      </c>
      <c r="I1551" t="s">
        <v>39</v>
      </c>
      <c r="J1551"/>
      <c r="K1551">
        <v>368.64</v>
      </c>
      <c r="L1551">
        <v>0.0</v>
      </c>
      <c r="M1551"/>
      <c r="N1551"/>
      <c r="O1551">
        <v>66.36</v>
      </c>
      <c r="P1551">
        <v>0.0</v>
      </c>
      <c r="Q1551">
        <v>435.0</v>
      </c>
      <c r="R1551"/>
      <c r="S1551"/>
      <c r="T1551"/>
      <c r="U1551"/>
      <c r="V1551"/>
      <c r="W1551">
        <v>18</v>
      </c>
    </row>
    <row r="1552" spans="1:23">
      <c r="A1552"/>
      <c r="B1552" t="s">
        <v>134</v>
      </c>
      <c r="C1552" t="s">
        <v>134</v>
      </c>
      <c r="D1552" t="s">
        <v>37</v>
      </c>
      <c r="E1552" t="s">
        <v>38</v>
      </c>
      <c r="F1552" t="str">
        <f>"0001630"</f>
        <v>0001630</v>
      </c>
      <c r="G1552">
        <v>1</v>
      </c>
      <c r="H1552" t="str">
        <f>"00000000"</f>
        <v>00000000</v>
      </c>
      <c r="I1552" t="s">
        <v>39</v>
      </c>
      <c r="J1552"/>
      <c r="K1552">
        <v>423.73</v>
      </c>
      <c r="L1552">
        <v>0.0</v>
      </c>
      <c r="M1552"/>
      <c r="N1552"/>
      <c r="O1552">
        <v>76.27</v>
      </c>
      <c r="P1552">
        <v>0.0</v>
      </c>
      <c r="Q1552">
        <v>500.0</v>
      </c>
      <c r="R1552"/>
      <c r="S1552"/>
      <c r="T1552"/>
      <c r="U1552"/>
      <c r="V1552"/>
      <c r="W1552">
        <v>18</v>
      </c>
    </row>
    <row r="1553" spans="1:23">
      <c r="A1553"/>
      <c r="B1553" t="s">
        <v>134</v>
      </c>
      <c r="C1553" t="s">
        <v>134</v>
      </c>
      <c r="D1553" t="s">
        <v>37</v>
      </c>
      <c r="E1553" t="s">
        <v>38</v>
      </c>
      <c r="F1553" t="str">
        <f>"0001631"</f>
        <v>0001631</v>
      </c>
      <c r="G1553">
        <v>1</v>
      </c>
      <c r="H1553" t="str">
        <f>"00000000"</f>
        <v>00000000</v>
      </c>
      <c r="I1553" t="s">
        <v>39</v>
      </c>
      <c r="J1553"/>
      <c r="K1553">
        <v>381.36</v>
      </c>
      <c r="L1553">
        <v>0.0</v>
      </c>
      <c r="M1553"/>
      <c r="N1553"/>
      <c r="O1553">
        <v>68.64</v>
      </c>
      <c r="P1553">
        <v>0.0</v>
      </c>
      <c r="Q1553">
        <v>450.0</v>
      </c>
      <c r="R1553"/>
      <c r="S1553"/>
      <c r="T1553"/>
      <c r="U1553"/>
      <c r="V1553"/>
      <c r="W1553">
        <v>18</v>
      </c>
    </row>
    <row r="1554" spans="1:23">
      <c r="A1554"/>
      <c r="B1554" t="s">
        <v>134</v>
      </c>
      <c r="C1554" t="s">
        <v>134</v>
      </c>
      <c r="D1554" t="s">
        <v>37</v>
      </c>
      <c r="E1554" t="s">
        <v>38</v>
      </c>
      <c r="F1554" t="str">
        <f>"0001632"</f>
        <v>0001632</v>
      </c>
      <c r="G1554">
        <v>1</v>
      </c>
      <c r="H1554" t="str">
        <f>"00000000"</f>
        <v>00000000</v>
      </c>
      <c r="I1554" t="s">
        <v>39</v>
      </c>
      <c r="J1554"/>
      <c r="K1554">
        <v>406.78</v>
      </c>
      <c r="L1554">
        <v>0.0</v>
      </c>
      <c r="M1554"/>
      <c r="N1554"/>
      <c r="O1554">
        <v>73.22</v>
      </c>
      <c r="P1554">
        <v>0.0</v>
      </c>
      <c r="Q1554">
        <v>480.0</v>
      </c>
      <c r="R1554"/>
      <c r="S1554"/>
      <c r="T1554"/>
      <c r="U1554"/>
      <c r="V1554"/>
      <c r="W1554">
        <v>18</v>
      </c>
    </row>
    <row r="1555" spans="1:23">
      <c r="A1555"/>
      <c r="B1555" t="s">
        <v>134</v>
      </c>
      <c r="C1555" t="s">
        <v>134</v>
      </c>
      <c r="D1555" t="s">
        <v>37</v>
      </c>
      <c r="E1555" t="s">
        <v>38</v>
      </c>
      <c r="F1555" t="str">
        <f>"0001633"</f>
        <v>0001633</v>
      </c>
      <c r="G1555">
        <v>1</v>
      </c>
      <c r="H1555" t="str">
        <f>"00000000"</f>
        <v>00000000</v>
      </c>
      <c r="I1555" t="s">
        <v>39</v>
      </c>
      <c r="J1555"/>
      <c r="K1555">
        <v>355.93</v>
      </c>
      <c r="L1555">
        <v>0.0</v>
      </c>
      <c r="M1555"/>
      <c r="N1555"/>
      <c r="O1555">
        <v>64.07</v>
      </c>
      <c r="P1555">
        <v>0.0</v>
      </c>
      <c r="Q1555">
        <v>420.0</v>
      </c>
      <c r="R1555"/>
      <c r="S1555"/>
      <c r="T1555"/>
      <c r="U1555"/>
      <c r="V1555"/>
      <c r="W1555">
        <v>18</v>
      </c>
    </row>
    <row r="1556" spans="1:23">
      <c r="A1556"/>
      <c r="B1556" t="s">
        <v>134</v>
      </c>
      <c r="C1556" t="s">
        <v>134</v>
      </c>
      <c r="D1556" t="s">
        <v>37</v>
      </c>
      <c r="E1556" t="s">
        <v>38</v>
      </c>
      <c r="F1556" t="str">
        <f>"0001634"</f>
        <v>0001634</v>
      </c>
      <c r="G1556">
        <v>1</v>
      </c>
      <c r="H1556" t="str">
        <f>"00000000"</f>
        <v>00000000</v>
      </c>
      <c r="I1556" t="s">
        <v>39</v>
      </c>
      <c r="J1556"/>
      <c r="K1556">
        <v>330.51</v>
      </c>
      <c r="L1556">
        <v>0.0</v>
      </c>
      <c r="M1556"/>
      <c r="N1556"/>
      <c r="O1556">
        <v>59.49</v>
      </c>
      <c r="P1556">
        <v>0.0</v>
      </c>
      <c r="Q1556">
        <v>390.0</v>
      </c>
      <c r="R1556"/>
      <c r="S1556"/>
      <c r="T1556"/>
      <c r="U1556"/>
      <c r="V1556"/>
      <c r="W1556">
        <v>18</v>
      </c>
    </row>
    <row r="1557" spans="1:23">
      <c r="A1557"/>
      <c r="B1557" t="s">
        <v>134</v>
      </c>
      <c r="C1557" t="s">
        <v>134</v>
      </c>
      <c r="D1557" t="s">
        <v>37</v>
      </c>
      <c r="E1557" t="s">
        <v>38</v>
      </c>
      <c r="F1557" t="str">
        <f>"0001635"</f>
        <v>0001635</v>
      </c>
      <c r="G1557">
        <v>1</v>
      </c>
      <c r="H1557" t="str">
        <f>"00000000"</f>
        <v>00000000</v>
      </c>
      <c r="I1557" t="s">
        <v>39</v>
      </c>
      <c r="J1557"/>
      <c r="K1557">
        <v>406.78</v>
      </c>
      <c r="L1557">
        <v>0.0</v>
      </c>
      <c r="M1557"/>
      <c r="N1557"/>
      <c r="O1557">
        <v>73.22</v>
      </c>
      <c r="P1557">
        <v>0.0</v>
      </c>
      <c r="Q1557">
        <v>480.0</v>
      </c>
      <c r="R1557"/>
      <c r="S1557"/>
      <c r="T1557"/>
      <c r="U1557"/>
      <c r="V1557"/>
      <c r="W1557">
        <v>18</v>
      </c>
    </row>
    <row r="1558" spans="1:23">
      <c r="A1558"/>
      <c r="B1558" t="s">
        <v>134</v>
      </c>
      <c r="C1558" t="s">
        <v>134</v>
      </c>
      <c r="D1558" t="s">
        <v>37</v>
      </c>
      <c r="E1558" t="s">
        <v>38</v>
      </c>
      <c r="F1558" t="str">
        <f>"0001636"</f>
        <v>0001636</v>
      </c>
      <c r="G1558">
        <v>1</v>
      </c>
      <c r="H1558" t="str">
        <f>"00000000"</f>
        <v>00000000</v>
      </c>
      <c r="I1558" t="s">
        <v>39</v>
      </c>
      <c r="J1558"/>
      <c r="K1558">
        <v>355.93</v>
      </c>
      <c r="L1558">
        <v>0.0</v>
      </c>
      <c r="M1558"/>
      <c r="N1558"/>
      <c r="O1558">
        <v>64.07</v>
      </c>
      <c r="P1558">
        <v>0.0</v>
      </c>
      <c r="Q1558">
        <v>420.0</v>
      </c>
      <c r="R1558"/>
      <c r="S1558"/>
      <c r="T1558"/>
      <c r="U1558"/>
      <c r="V1558"/>
      <c r="W1558">
        <v>18</v>
      </c>
    </row>
    <row r="1559" spans="1:23">
      <c r="A1559"/>
      <c r="B1559" t="s">
        <v>134</v>
      </c>
      <c r="C1559" t="s">
        <v>134</v>
      </c>
      <c r="D1559" t="s">
        <v>37</v>
      </c>
      <c r="E1559" t="s">
        <v>38</v>
      </c>
      <c r="F1559" t="str">
        <f>"0001637"</f>
        <v>0001637</v>
      </c>
      <c r="G1559">
        <v>1</v>
      </c>
      <c r="H1559" t="str">
        <f>"00000000"</f>
        <v>00000000</v>
      </c>
      <c r="I1559" t="s">
        <v>39</v>
      </c>
      <c r="J1559"/>
      <c r="K1559">
        <v>415.25</v>
      </c>
      <c r="L1559">
        <v>0.0</v>
      </c>
      <c r="M1559"/>
      <c r="N1559"/>
      <c r="O1559">
        <v>74.75</v>
      </c>
      <c r="P1559">
        <v>0.0</v>
      </c>
      <c r="Q1559">
        <v>490.0</v>
      </c>
      <c r="R1559"/>
      <c r="S1559"/>
      <c r="T1559"/>
      <c r="U1559"/>
      <c r="V1559"/>
      <c r="W1559">
        <v>18</v>
      </c>
    </row>
    <row r="1560" spans="1:23">
      <c r="A1560"/>
      <c r="B1560" t="s">
        <v>134</v>
      </c>
      <c r="C1560" t="s">
        <v>134</v>
      </c>
      <c r="D1560" t="s">
        <v>37</v>
      </c>
      <c r="E1560" t="s">
        <v>38</v>
      </c>
      <c r="F1560" t="str">
        <f>"0001638"</f>
        <v>0001638</v>
      </c>
      <c r="G1560">
        <v>1</v>
      </c>
      <c r="H1560" t="str">
        <f>"00000000"</f>
        <v>00000000</v>
      </c>
      <c r="I1560" t="s">
        <v>39</v>
      </c>
      <c r="J1560"/>
      <c r="K1560">
        <v>406.78</v>
      </c>
      <c r="L1560">
        <v>0.0</v>
      </c>
      <c r="M1560"/>
      <c r="N1560"/>
      <c r="O1560">
        <v>73.22</v>
      </c>
      <c r="P1560">
        <v>0.0</v>
      </c>
      <c r="Q1560">
        <v>480.0</v>
      </c>
      <c r="R1560"/>
      <c r="S1560"/>
      <c r="T1560"/>
      <c r="U1560"/>
      <c r="V1560"/>
      <c r="W1560">
        <v>18</v>
      </c>
    </row>
    <row r="1561" spans="1:23">
      <c r="A1561"/>
      <c r="B1561" t="s">
        <v>134</v>
      </c>
      <c r="C1561" t="s">
        <v>134</v>
      </c>
      <c r="D1561" t="s">
        <v>37</v>
      </c>
      <c r="E1561" t="s">
        <v>38</v>
      </c>
      <c r="F1561" t="str">
        <f>"0001639"</f>
        <v>0001639</v>
      </c>
      <c r="G1561">
        <v>1</v>
      </c>
      <c r="H1561" t="str">
        <f>"00000000"</f>
        <v>00000000</v>
      </c>
      <c r="I1561" t="s">
        <v>39</v>
      </c>
      <c r="J1561"/>
      <c r="K1561">
        <v>381.36</v>
      </c>
      <c r="L1561">
        <v>0.0</v>
      </c>
      <c r="M1561"/>
      <c r="N1561"/>
      <c r="O1561">
        <v>68.64</v>
      </c>
      <c r="P1561">
        <v>0.0</v>
      </c>
      <c r="Q1561">
        <v>450.0</v>
      </c>
      <c r="R1561"/>
      <c r="S1561"/>
      <c r="T1561"/>
      <c r="U1561"/>
      <c r="V1561"/>
      <c r="W1561">
        <v>18</v>
      </c>
    </row>
    <row r="1562" spans="1:23">
      <c r="A1562"/>
      <c r="B1562" t="s">
        <v>134</v>
      </c>
      <c r="C1562" t="s">
        <v>134</v>
      </c>
      <c r="D1562" t="s">
        <v>37</v>
      </c>
      <c r="E1562" t="s">
        <v>38</v>
      </c>
      <c r="F1562" t="str">
        <f>"0001640"</f>
        <v>0001640</v>
      </c>
      <c r="G1562">
        <v>1</v>
      </c>
      <c r="H1562" t="str">
        <f>"00000000"</f>
        <v>00000000</v>
      </c>
      <c r="I1562" t="s">
        <v>39</v>
      </c>
      <c r="J1562"/>
      <c r="K1562">
        <v>389.83</v>
      </c>
      <c r="L1562">
        <v>0.0</v>
      </c>
      <c r="M1562"/>
      <c r="N1562"/>
      <c r="O1562">
        <v>70.17</v>
      </c>
      <c r="P1562">
        <v>0.0</v>
      </c>
      <c r="Q1562">
        <v>460.0</v>
      </c>
      <c r="R1562"/>
      <c r="S1562"/>
      <c r="T1562"/>
      <c r="U1562"/>
      <c r="V1562"/>
      <c r="W1562">
        <v>18</v>
      </c>
    </row>
    <row r="1563" spans="1:23">
      <c r="A1563"/>
      <c r="B1563" t="s">
        <v>134</v>
      </c>
      <c r="C1563" t="s">
        <v>134</v>
      </c>
      <c r="D1563" t="s">
        <v>37</v>
      </c>
      <c r="E1563" t="s">
        <v>38</v>
      </c>
      <c r="F1563" t="str">
        <f>"0001641"</f>
        <v>0001641</v>
      </c>
      <c r="G1563">
        <v>1</v>
      </c>
      <c r="H1563" t="str">
        <f>"00000000"</f>
        <v>00000000</v>
      </c>
      <c r="I1563" t="s">
        <v>39</v>
      </c>
      <c r="J1563"/>
      <c r="K1563">
        <v>406.78</v>
      </c>
      <c r="L1563">
        <v>0.0</v>
      </c>
      <c r="M1563"/>
      <c r="N1563"/>
      <c r="O1563">
        <v>73.22</v>
      </c>
      <c r="P1563">
        <v>0.0</v>
      </c>
      <c r="Q1563">
        <v>480.0</v>
      </c>
      <c r="R1563"/>
      <c r="S1563"/>
      <c r="T1563"/>
      <c r="U1563"/>
      <c r="V1563"/>
      <c r="W1563">
        <v>18</v>
      </c>
    </row>
    <row r="1564" spans="1:23">
      <c r="A1564"/>
      <c r="B1564" t="s">
        <v>134</v>
      </c>
      <c r="C1564" t="s">
        <v>134</v>
      </c>
      <c r="D1564" t="s">
        <v>37</v>
      </c>
      <c r="E1564" t="s">
        <v>38</v>
      </c>
      <c r="F1564" t="str">
        <f>"0001642"</f>
        <v>0001642</v>
      </c>
      <c r="G1564">
        <v>1</v>
      </c>
      <c r="H1564" t="str">
        <f>"00000000"</f>
        <v>00000000</v>
      </c>
      <c r="I1564" t="s">
        <v>39</v>
      </c>
      <c r="J1564"/>
      <c r="K1564">
        <v>406.78</v>
      </c>
      <c r="L1564">
        <v>0.0</v>
      </c>
      <c r="M1564"/>
      <c r="N1564"/>
      <c r="O1564">
        <v>73.22</v>
      </c>
      <c r="P1564">
        <v>0.0</v>
      </c>
      <c r="Q1564">
        <v>480.0</v>
      </c>
      <c r="R1564"/>
      <c r="S1564"/>
      <c r="T1564"/>
      <c r="U1564"/>
      <c r="V1564"/>
      <c r="W1564">
        <v>18</v>
      </c>
    </row>
    <row r="1565" spans="1:23">
      <c r="A1565"/>
      <c r="B1565" t="s">
        <v>134</v>
      </c>
      <c r="C1565" t="s">
        <v>134</v>
      </c>
      <c r="D1565" t="s">
        <v>37</v>
      </c>
      <c r="E1565" t="s">
        <v>38</v>
      </c>
      <c r="F1565" t="str">
        <f>"0001643"</f>
        <v>0001643</v>
      </c>
      <c r="G1565">
        <v>1</v>
      </c>
      <c r="H1565" t="str">
        <f>"00000000"</f>
        <v>00000000</v>
      </c>
      <c r="I1565" t="s">
        <v>39</v>
      </c>
      <c r="J1565"/>
      <c r="K1565">
        <v>360.17</v>
      </c>
      <c r="L1565">
        <v>0.0</v>
      </c>
      <c r="M1565"/>
      <c r="N1565"/>
      <c r="O1565">
        <v>64.83</v>
      </c>
      <c r="P1565">
        <v>0.0</v>
      </c>
      <c r="Q1565">
        <v>425.0</v>
      </c>
      <c r="R1565"/>
      <c r="S1565"/>
      <c r="T1565"/>
      <c r="U1565"/>
      <c r="V1565"/>
      <c r="W1565">
        <v>18</v>
      </c>
    </row>
    <row r="1566" spans="1:23">
      <c r="A1566"/>
      <c r="B1566" t="s">
        <v>134</v>
      </c>
      <c r="C1566" t="s">
        <v>134</v>
      </c>
      <c r="D1566" t="s">
        <v>37</v>
      </c>
      <c r="E1566" t="s">
        <v>38</v>
      </c>
      <c r="F1566" t="str">
        <f>"0001644"</f>
        <v>0001644</v>
      </c>
      <c r="G1566">
        <v>1</v>
      </c>
      <c r="H1566" t="str">
        <f>"00000000"</f>
        <v>00000000</v>
      </c>
      <c r="I1566" t="s">
        <v>39</v>
      </c>
      <c r="J1566"/>
      <c r="K1566">
        <v>355.93</v>
      </c>
      <c r="L1566">
        <v>0.0</v>
      </c>
      <c r="M1566"/>
      <c r="N1566"/>
      <c r="O1566">
        <v>64.07</v>
      </c>
      <c r="P1566">
        <v>0.0</v>
      </c>
      <c r="Q1566">
        <v>420.0</v>
      </c>
      <c r="R1566"/>
      <c r="S1566"/>
      <c r="T1566"/>
      <c r="U1566"/>
      <c r="V1566"/>
      <c r="W1566">
        <v>18</v>
      </c>
    </row>
    <row r="1567" spans="1:23">
      <c r="A1567"/>
      <c r="B1567" t="s">
        <v>134</v>
      </c>
      <c r="C1567" t="s">
        <v>134</v>
      </c>
      <c r="D1567" t="s">
        <v>37</v>
      </c>
      <c r="E1567" t="s">
        <v>38</v>
      </c>
      <c r="F1567" t="str">
        <f>"0001645"</f>
        <v>0001645</v>
      </c>
      <c r="G1567">
        <v>1</v>
      </c>
      <c r="H1567" t="str">
        <f>"00000000"</f>
        <v>00000000</v>
      </c>
      <c r="I1567" t="s">
        <v>39</v>
      </c>
      <c r="J1567"/>
      <c r="K1567">
        <v>406.78</v>
      </c>
      <c r="L1567">
        <v>0.0</v>
      </c>
      <c r="M1567"/>
      <c r="N1567"/>
      <c r="O1567">
        <v>73.22</v>
      </c>
      <c r="P1567">
        <v>0.0</v>
      </c>
      <c r="Q1567">
        <v>480.0</v>
      </c>
      <c r="R1567"/>
      <c r="S1567"/>
      <c r="T1567"/>
      <c r="U1567"/>
      <c r="V1567"/>
      <c r="W1567">
        <v>18</v>
      </c>
    </row>
    <row r="1568" spans="1:23">
      <c r="A1568"/>
      <c r="B1568" t="s">
        <v>134</v>
      </c>
      <c r="C1568" t="s">
        <v>134</v>
      </c>
      <c r="D1568" t="s">
        <v>37</v>
      </c>
      <c r="E1568" t="s">
        <v>38</v>
      </c>
      <c r="F1568" t="str">
        <f>"0001646"</f>
        <v>0001646</v>
      </c>
      <c r="G1568">
        <v>1</v>
      </c>
      <c r="H1568" t="str">
        <f>"00000000"</f>
        <v>00000000</v>
      </c>
      <c r="I1568" t="s">
        <v>39</v>
      </c>
      <c r="J1568"/>
      <c r="K1568">
        <v>355.93</v>
      </c>
      <c r="L1568">
        <v>0.0</v>
      </c>
      <c r="M1568"/>
      <c r="N1568"/>
      <c r="O1568">
        <v>64.07</v>
      </c>
      <c r="P1568">
        <v>0.0</v>
      </c>
      <c r="Q1568">
        <v>420.0</v>
      </c>
      <c r="R1568"/>
      <c r="S1568"/>
      <c r="T1568"/>
      <c r="U1568"/>
      <c r="V1568"/>
      <c r="W1568">
        <v>18</v>
      </c>
    </row>
    <row r="1569" spans="1:23">
      <c r="A1569"/>
      <c r="B1569" t="s">
        <v>134</v>
      </c>
      <c r="C1569" t="s">
        <v>134</v>
      </c>
      <c r="D1569" t="s">
        <v>37</v>
      </c>
      <c r="E1569" t="s">
        <v>38</v>
      </c>
      <c r="F1569" t="str">
        <f>"0001647"</f>
        <v>0001647</v>
      </c>
      <c r="G1569">
        <v>1</v>
      </c>
      <c r="H1569" t="str">
        <f>"00000000"</f>
        <v>00000000</v>
      </c>
      <c r="I1569" t="s">
        <v>39</v>
      </c>
      <c r="J1569"/>
      <c r="K1569">
        <v>338.98</v>
      </c>
      <c r="L1569">
        <v>0.0</v>
      </c>
      <c r="M1569"/>
      <c r="N1569"/>
      <c r="O1569">
        <v>61.02</v>
      </c>
      <c r="P1569">
        <v>0.0</v>
      </c>
      <c r="Q1569">
        <v>400.0</v>
      </c>
      <c r="R1569"/>
      <c r="S1569"/>
      <c r="T1569"/>
      <c r="U1569"/>
      <c r="V1569"/>
      <c r="W1569">
        <v>18</v>
      </c>
    </row>
    <row r="1570" spans="1:23">
      <c r="A1570"/>
      <c r="B1570" t="s">
        <v>134</v>
      </c>
      <c r="C1570" t="s">
        <v>134</v>
      </c>
      <c r="D1570" t="s">
        <v>37</v>
      </c>
      <c r="E1570" t="s">
        <v>38</v>
      </c>
      <c r="F1570" t="str">
        <f>"0001648"</f>
        <v>0001648</v>
      </c>
      <c r="G1570">
        <v>1</v>
      </c>
      <c r="H1570" t="str">
        <f>"00000000"</f>
        <v>00000000</v>
      </c>
      <c r="I1570" t="s">
        <v>39</v>
      </c>
      <c r="J1570"/>
      <c r="K1570">
        <v>338.98</v>
      </c>
      <c r="L1570">
        <v>0.0</v>
      </c>
      <c r="M1570"/>
      <c r="N1570"/>
      <c r="O1570">
        <v>61.02</v>
      </c>
      <c r="P1570">
        <v>0.0</v>
      </c>
      <c r="Q1570">
        <v>400.0</v>
      </c>
      <c r="R1570"/>
      <c r="S1570"/>
      <c r="T1570"/>
      <c r="U1570"/>
      <c r="V1570"/>
      <c r="W1570">
        <v>18</v>
      </c>
    </row>
    <row r="1571" spans="1:23">
      <c r="A1571"/>
      <c r="B1571" t="s">
        <v>134</v>
      </c>
      <c r="C1571" t="s">
        <v>134</v>
      </c>
      <c r="D1571" t="s">
        <v>37</v>
      </c>
      <c r="E1571" t="s">
        <v>38</v>
      </c>
      <c r="F1571" t="str">
        <f>"0001649"</f>
        <v>0001649</v>
      </c>
      <c r="G1571">
        <v>1</v>
      </c>
      <c r="H1571" t="str">
        <f>"00000000"</f>
        <v>00000000</v>
      </c>
      <c r="I1571" t="s">
        <v>39</v>
      </c>
      <c r="J1571"/>
      <c r="K1571">
        <v>381.36</v>
      </c>
      <c r="L1571">
        <v>0.0</v>
      </c>
      <c r="M1571"/>
      <c r="N1571"/>
      <c r="O1571">
        <v>68.64</v>
      </c>
      <c r="P1571">
        <v>0.0</v>
      </c>
      <c r="Q1571">
        <v>450.0</v>
      </c>
      <c r="R1571"/>
      <c r="S1571"/>
      <c r="T1571"/>
      <c r="U1571"/>
      <c r="V1571"/>
      <c r="W1571">
        <v>18</v>
      </c>
    </row>
    <row r="1572" spans="1:23">
      <c r="A1572"/>
      <c r="B1572" t="s">
        <v>134</v>
      </c>
      <c r="C1572" t="s">
        <v>134</v>
      </c>
      <c r="D1572" t="s">
        <v>37</v>
      </c>
      <c r="E1572" t="s">
        <v>38</v>
      </c>
      <c r="F1572" t="str">
        <f>"0001650"</f>
        <v>0001650</v>
      </c>
      <c r="G1572">
        <v>1</v>
      </c>
      <c r="H1572" t="str">
        <f>"00000000"</f>
        <v>00000000</v>
      </c>
      <c r="I1572" t="s">
        <v>39</v>
      </c>
      <c r="J1572"/>
      <c r="K1572">
        <v>385.59</v>
      </c>
      <c r="L1572">
        <v>0.0</v>
      </c>
      <c r="M1572"/>
      <c r="N1572"/>
      <c r="O1572">
        <v>69.41</v>
      </c>
      <c r="P1572">
        <v>0.0</v>
      </c>
      <c r="Q1572">
        <v>455.0</v>
      </c>
      <c r="R1572"/>
      <c r="S1572"/>
      <c r="T1572"/>
      <c r="U1572"/>
      <c r="V1572"/>
      <c r="W1572">
        <v>18</v>
      </c>
    </row>
    <row r="1573" spans="1:23">
      <c r="A1573"/>
      <c r="B1573" t="s">
        <v>134</v>
      </c>
      <c r="C1573" t="s">
        <v>134</v>
      </c>
      <c r="D1573" t="s">
        <v>37</v>
      </c>
      <c r="E1573" t="s">
        <v>38</v>
      </c>
      <c r="F1573" t="str">
        <f>"0001651"</f>
        <v>0001651</v>
      </c>
      <c r="G1573">
        <v>1</v>
      </c>
      <c r="H1573" t="str">
        <f>"00000000"</f>
        <v>00000000</v>
      </c>
      <c r="I1573" t="s">
        <v>39</v>
      </c>
      <c r="J1573"/>
      <c r="K1573">
        <v>381.36</v>
      </c>
      <c r="L1573">
        <v>0.0</v>
      </c>
      <c r="M1573"/>
      <c r="N1573"/>
      <c r="O1573">
        <v>68.64</v>
      </c>
      <c r="P1573">
        <v>0.0</v>
      </c>
      <c r="Q1573">
        <v>450.0</v>
      </c>
      <c r="R1573"/>
      <c r="S1573"/>
      <c r="T1573"/>
      <c r="U1573"/>
      <c r="V1573"/>
      <c r="W1573">
        <v>18</v>
      </c>
    </row>
    <row r="1574" spans="1:23">
      <c r="A1574"/>
      <c r="B1574" t="s">
        <v>134</v>
      </c>
      <c r="C1574" t="s">
        <v>134</v>
      </c>
      <c r="D1574" t="s">
        <v>37</v>
      </c>
      <c r="E1574" t="s">
        <v>38</v>
      </c>
      <c r="F1574" t="str">
        <f>"0001652"</f>
        <v>0001652</v>
      </c>
      <c r="G1574">
        <v>1</v>
      </c>
      <c r="H1574" t="str">
        <f>"00000000"</f>
        <v>00000000</v>
      </c>
      <c r="I1574" t="s">
        <v>39</v>
      </c>
      <c r="J1574"/>
      <c r="K1574">
        <v>338.98</v>
      </c>
      <c r="L1574">
        <v>0.0</v>
      </c>
      <c r="M1574"/>
      <c r="N1574"/>
      <c r="O1574">
        <v>61.02</v>
      </c>
      <c r="P1574">
        <v>0.0</v>
      </c>
      <c r="Q1574">
        <v>400.0</v>
      </c>
      <c r="R1574"/>
      <c r="S1574"/>
      <c r="T1574"/>
      <c r="U1574"/>
      <c r="V1574"/>
      <c r="W1574">
        <v>18</v>
      </c>
    </row>
    <row r="1575" spans="1:23">
      <c r="A1575"/>
      <c r="B1575" t="s">
        <v>134</v>
      </c>
      <c r="C1575" t="s">
        <v>134</v>
      </c>
      <c r="D1575" t="s">
        <v>37</v>
      </c>
      <c r="E1575" t="s">
        <v>38</v>
      </c>
      <c r="F1575" t="str">
        <f>"0001653"</f>
        <v>0001653</v>
      </c>
      <c r="G1575">
        <v>1</v>
      </c>
      <c r="H1575" t="str">
        <f>"00000000"</f>
        <v>00000000</v>
      </c>
      <c r="I1575" t="s">
        <v>39</v>
      </c>
      <c r="J1575"/>
      <c r="K1575">
        <v>423.73</v>
      </c>
      <c r="L1575">
        <v>0.0</v>
      </c>
      <c r="M1575"/>
      <c r="N1575"/>
      <c r="O1575">
        <v>76.27</v>
      </c>
      <c r="P1575">
        <v>0.0</v>
      </c>
      <c r="Q1575">
        <v>500.0</v>
      </c>
      <c r="R1575"/>
      <c r="S1575"/>
      <c r="T1575"/>
      <c r="U1575"/>
      <c r="V1575"/>
      <c r="W1575">
        <v>18</v>
      </c>
    </row>
    <row r="1576" spans="1:23">
      <c r="A1576"/>
      <c r="B1576" t="s">
        <v>134</v>
      </c>
      <c r="C1576" t="s">
        <v>134</v>
      </c>
      <c r="D1576" t="s">
        <v>37</v>
      </c>
      <c r="E1576" t="s">
        <v>38</v>
      </c>
      <c r="F1576" t="str">
        <f>"0001654"</f>
        <v>0001654</v>
      </c>
      <c r="G1576">
        <v>1</v>
      </c>
      <c r="H1576" t="str">
        <f>"00000000"</f>
        <v>00000000</v>
      </c>
      <c r="I1576" t="s">
        <v>39</v>
      </c>
      <c r="J1576"/>
      <c r="K1576">
        <v>338.98</v>
      </c>
      <c r="L1576">
        <v>0.0</v>
      </c>
      <c r="M1576"/>
      <c r="N1576"/>
      <c r="O1576">
        <v>61.02</v>
      </c>
      <c r="P1576">
        <v>0.0</v>
      </c>
      <c r="Q1576">
        <v>400.0</v>
      </c>
      <c r="R1576"/>
      <c r="S1576"/>
      <c r="T1576"/>
      <c r="U1576"/>
      <c r="V1576"/>
      <c r="W1576">
        <v>18</v>
      </c>
    </row>
    <row r="1577" spans="1:23">
      <c r="A1577"/>
      <c r="B1577" t="s">
        <v>134</v>
      </c>
      <c r="C1577" t="s">
        <v>134</v>
      </c>
      <c r="D1577" t="s">
        <v>37</v>
      </c>
      <c r="E1577" t="s">
        <v>38</v>
      </c>
      <c r="F1577" t="str">
        <f>"0001655"</f>
        <v>0001655</v>
      </c>
      <c r="G1577">
        <v>1</v>
      </c>
      <c r="H1577" t="str">
        <f>"00000000"</f>
        <v>00000000</v>
      </c>
      <c r="I1577" t="s">
        <v>39</v>
      </c>
      <c r="J1577"/>
      <c r="K1577">
        <v>423.73</v>
      </c>
      <c r="L1577">
        <v>0.0</v>
      </c>
      <c r="M1577"/>
      <c r="N1577"/>
      <c r="O1577">
        <v>76.27</v>
      </c>
      <c r="P1577">
        <v>0.0</v>
      </c>
      <c r="Q1577">
        <v>500.0</v>
      </c>
      <c r="R1577"/>
      <c r="S1577"/>
      <c r="T1577"/>
      <c r="U1577"/>
      <c r="V1577"/>
      <c r="W1577">
        <v>18</v>
      </c>
    </row>
    <row r="1578" spans="1:23">
      <c r="A1578"/>
      <c r="B1578" t="s">
        <v>134</v>
      </c>
      <c r="C1578" t="s">
        <v>134</v>
      </c>
      <c r="D1578" t="s">
        <v>37</v>
      </c>
      <c r="E1578" t="s">
        <v>38</v>
      </c>
      <c r="F1578" t="str">
        <f>"0001656"</f>
        <v>0001656</v>
      </c>
      <c r="G1578">
        <v>1</v>
      </c>
      <c r="H1578" t="str">
        <f>"00000000"</f>
        <v>00000000</v>
      </c>
      <c r="I1578" t="s">
        <v>39</v>
      </c>
      <c r="J1578"/>
      <c r="K1578">
        <v>343.22</v>
      </c>
      <c r="L1578">
        <v>0.0</v>
      </c>
      <c r="M1578"/>
      <c r="N1578"/>
      <c r="O1578">
        <v>61.78</v>
      </c>
      <c r="P1578">
        <v>0.0</v>
      </c>
      <c r="Q1578">
        <v>405.0</v>
      </c>
      <c r="R1578"/>
      <c r="S1578"/>
      <c r="T1578"/>
      <c r="U1578"/>
      <c r="V1578"/>
      <c r="W1578">
        <v>18</v>
      </c>
    </row>
    <row r="1579" spans="1:23">
      <c r="A1579"/>
      <c r="B1579" t="s">
        <v>134</v>
      </c>
      <c r="C1579" t="s">
        <v>134</v>
      </c>
      <c r="D1579" t="s">
        <v>37</v>
      </c>
      <c r="E1579" t="s">
        <v>38</v>
      </c>
      <c r="F1579" t="str">
        <f>"0001657"</f>
        <v>0001657</v>
      </c>
      <c r="G1579">
        <v>1</v>
      </c>
      <c r="H1579" t="str">
        <f>"00000000"</f>
        <v>00000000</v>
      </c>
      <c r="I1579" t="s">
        <v>39</v>
      </c>
      <c r="J1579"/>
      <c r="K1579">
        <v>343.22</v>
      </c>
      <c r="L1579">
        <v>0.0</v>
      </c>
      <c r="M1579"/>
      <c r="N1579"/>
      <c r="O1579">
        <v>61.78</v>
      </c>
      <c r="P1579">
        <v>0.0</v>
      </c>
      <c r="Q1579">
        <v>405.0</v>
      </c>
      <c r="R1579"/>
      <c r="S1579"/>
      <c r="T1579"/>
      <c r="U1579"/>
      <c r="V1579"/>
      <c r="W1579">
        <v>18</v>
      </c>
    </row>
    <row r="1580" spans="1:23">
      <c r="A1580"/>
      <c r="B1580" t="s">
        <v>134</v>
      </c>
      <c r="C1580" t="s">
        <v>134</v>
      </c>
      <c r="D1580" t="s">
        <v>37</v>
      </c>
      <c r="E1580" t="s">
        <v>38</v>
      </c>
      <c r="F1580" t="str">
        <f>"0001658"</f>
        <v>0001658</v>
      </c>
      <c r="G1580">
        <v>1</v>
      </c>
      <c r="H1580" t="str">
        <f>"00000000"</f>
        <v>00000000</v>
      </c>
      <c r="I1580" t="s">
        <v>39</v>
      </c>
      <c r="J1580"/>
      <c r="K1580">
        <v>305.08</v>
      </c>
      <c r="L1580">
        <v>0.0</v>
      </c>
      <c r="M1580"/>
      <c r="N1580"/>
      <c r="O1580">
        <v>54.92</v>
      </c>
      <c r="P1580">
        <v>0.0</v>
      </c>
      <c r="Q1580">
        <v>360.0</v>
      </c>
      <c r="R1580"/>
      <c r="S1580"/>
      <c r="T1580"/>
      <c r="U1580"/>
      <c r="V1580"/>
      <c r="W1580">
        <v>18</v>
      </c>
    </row>
    <row r="1581" spans="1:23">
      <c r="A1581"/>
      <c r="B1581" t="s">
        <v>134</v>
      </c>
      <c r="C1581" t="s">
        <v>134</v>
      </c>
      <c r="D1581" t="s">
        <v>37</v>
      </c>
      <c r="E1581" t="s">
        <v>38</v>
      </c>
      <c r="F1581" t="str">
        <f>"0001659"</f>
        <v>0001659</v>
      </c>
      <c r="G1581">
        <v>1</v>
      </c>
      <c r="H1581" t="str">
        <f>"00000000"</f>
        <v>00000000</v>
      </c>
      <c r="I1581" t="s">
        <v>39</v>
      </c>
      <c r="J1581"/>
      <c r="K1581">
        <v>381.36</v>
      </c>
      <c r="L1581">
        <v>0.0</v>
      </c>
      <c r="M1581"/>
      <c r="N1581"/>
      <c r="O1581">
        <v>68.64</v>
      </c>
      <c r="P1581">
        <v>0.0</v>
      </c>
      <c r="Q1581">
        <v>450.0</v>
      </c>
      <c r="R1581"/>
      <c r="S1581"/>
      <c r="T1581"/>
      <c r="U1581"/>
      <c r="V1581"/>
      <c r="W1581">
        <v>18</v>
      </c>
    </row>
    <row r="1582" spans="1:23">
      <c r="A1582"/>
      <c r="B1582" t="s">
        <v>134</v>
      </c>
      <c r="C1582" t="s">
        <v>134</v>
      </c>
      <c r="D1582" t="s">
        <v>37</v>
      </c>
      <c r="E1582" t="s">
        <v>38</v>
      </c>
      <c r="F1582" t="str">
        <f>"0001660"</f>
        <v>0001660</v>
      </c>
      <c r="G1582">
        <v>1</v>
      </c>
      <c r="H1582" t="str">
        <f>"00000000"</f>
        <v>00000000</v>
      </c>
      <c r="I1582" t="s">
        <v>39</v>
      </c>
      <c r="J1582"/>
      <c r="K1582">
        <v>415.25</v>
      </c>
      <c r="L1582">
        <v>0.0</v>
      </c>
      <c r="M1582"/>
      <c r="N1582"/>
      <c r="O1582">
        <v>74.75</v>
      </c>
      <c r="P1582">
        <v>0.0</v>
      </c>
      <c r="Q1582">
        <v>490.0</v>
      </c>
      <c r="R1582"/>
      <c r="S1582"/>
      <c r="T1582"/>
      <c r="U1582"/>
      <c r="V1582"/>
      <c r="W1582">
        <v>18</v>
      </c>
    </row>
    <row r="1583" spans="1:23">
      <c r="A1583"/>
      <c r="B1583" t="s">
        <v>134</v>
      </c>
      <c r="C1583" t="s">
        <v>134</v>
      </c>
      <c r="D1583" t="s">
        <v>37</v>
      </c>
      <c r="E1583" t="s">
        <v>38</v>
      </c>
      <c r="F1583" t="str">
        <f>"0001661"</f>
        <v>0001661</v>
      </c>
      <c r="G1583">
        <v>1</v>
      </c>
      <c r="H1583" t="str">
        <f>"00000000"</f>
        <v>00000000</v>
      </c>
      <c r="I1583" t="s">
        <v>39</v>
      </c>
      <c r="J1583"/>
      <c r="K1583">
        <v>406.78</v>
      </c>
      <c r="L1583">
        <v>0.0</v>
      </c>
      <c r="M1583"/>
      <c r="N1583"/>
      <c r="O1583">
        <v>73.22</v>
      </c>
      <c r="P1583">
        <v>0.0</v>
      </c>
      <c r="Q1583">
        <v>480.0</v>
      </c>
      <c r="R1583"/>
      <c r="S1583"/>
      <c r="T1583"/>
      <c r="U1583"/>
      <c r="V1583"/>
      <c r="W1583">
        <v>18</v>
      </c>
    </row>
    <row r="1584" spans="1:23">
      <c r="A1584"/>
      <c r="B1584" t="s">
        <v>134</v>
      </c>
      <c r="C1584" t="s">
        <v>134</v>
      </c>
      <c r="D1584" t="s">
        <v>37</v>
      </c>
      <c r="E1584" t="s">
        <v>38</v>
      </c>
      <c r="F1584" t="str">
        <f>"0001662"</f>
        <v>0001662</v>
      </c>
      <c r="G1584">
        <v>1</v>
      </c>
      <c r="H1584" t="str">
        <f>"00000000"</f>
        <v>00000000</v>
      </c>
      <c r="I1584" t="s">
        <v>39</v>
      </c>
      <c r="J1584"/>
      <c r="K1584">
        <v>406.78</v>
      </c>
      <c r="L1584">
        <v>0.0</v>
      </c>
      <c r="M1584"/>
      <c r="N1584"/>
      <c r="O1584">
        <v>73.22</v>
      </c>
      <c r="P1584">
        <v>0.0</v>
      </c>
      <c r="Q1584">
        <v>480.0</v>
      </c>
      <c r="R1584"/>
      <c r="S1584"/>
      <c r="T1584"/>
      <c r="U1584"/>
      <c r="V1584"/>
      <c r="W1584">
        <v>18</v>
      </c>
    </row>
    <row r="1585" spans="1:23">
      <c r="A1585"/>
      <c r="B1585" t="s">
        <v>134</v>
      </c>
      <c r="C1585" t="s">
        <v>134</v>
      </c>
      <c r="D1585" t="s">
        <v>37</v>
      </c>
      <c r="E1585" t="s">
        <v>38</v>
      </c>
      <c r="F1585" t="str">
        <f>"0001663"</f>
        <v>0001663</v>
      </c>
      <c r="G1585">
        <v>1</v>
      </c>
      <c r="H1585" t="str">
        <f>"00000000"</f>
        <v>00000000</v>
      </c>
      <c r="I1585" t="s">
        <v>39</v>
      </c>
      <c r="J1585"/>
      <c r="K1585">
        <v>423.73</v>
      </c>
      <c r="L1585">
        <v>0.0</v>
      </c>
      <c r="M1585"/>
      <c r="N1585"/>
      <c r="O1585">
        <v>76.27</v>
      </c>
      <c r="P1585">
        <v>0.0</v>
      </c>
      <c r="Q1585">
        <v>500.0</v>
      </c>
      <c r="R1585"/>
      <c r="S1585"/>
      <c r="T1585"/>
      <c r="U1585"/>
      <c r="V1585"/>
      <c r="W1585">
        <v>18</v>
      </c>
    </row>
    <row r="1586" spans="1:23">
      <c r="A1586"/>
      <c r="B1586" t="s">
        <v>134</v>
      </c>
      <c r="C1586" t="s">
        <v>134</v>
      </c>
      <c r="D1586" t="s">
        <v>37</v>
      </c>
      <c r="E1586" t="s">
        <v>38</v>
      </c>
      <c r="F1586" t="str">
        <f>"0001664"</f>
        <v>0001664</v>
      </c>
      <c r="G1586">
        <v>1</v>
      </c>
      <c r="H1586" t="str">
        <f>"00000000"</f>
        <v>00000000</v>
      </c>
      <c r="I1586" t="s">
        <v>39</v>
      </c>
      <c r="J1586"/>
      <c r="K1586">
        <v>423.73</v>
      </c>
      <c r="L1586">
        <v>0.0</v>
      </c>
      <c r="M1586"/>
      <c r="N1586"/>
      <c r="O1586">
        <v>76.27</v>
      </c>
      <c r="P1586">
        <v>0.0</v>
      </c>
      <c r="Q1586">
        <v>500.0</v>
      </c>
      <c r="R1586"/>
      <c r="S1586"/>
      <c r="T1586"/>
      <c r="U1586"/>
      <c r="V1586"/>
      <c r="W1586">
        <v>18</v>
      </c>
    </row>
    <row r="1587" spans="1:23">
      <c r="A1587"/>
      <c r="B1587" t="s">
        <v>134</v>
      </c>
      <c r="C1587" t="s">
        <v>134</v>
      </c>
      <c r="D1587" t="s">
        <v>37</v>
      </c>
      <c r="E1587" t="s">
        <v>38</v>
      </c>
      <c r="F1587" t="str">
        <f>"0001665"</f>
        <v>0001665</v>
      </c>
      <c r="G1587">
        <v>1</v>
      </c>
      <c r="H1587" t="str">
        <f>"00000000"</f>
        <v>00000000</v>
      </c>
      <c r="I1587" t="s">
        <v>39</v>
      </c>
      <c r="J1587"/>
      <c r="K1587">
        <v>406.78</v>
      </c>
      <c r="L1587">
        <v>0.0</v>
      </c>
      <c r="M1587"/>
      <c r="N1587"/>
      <c r="O1587">
        <v>73.22</v>
      </c>
      <c r="P1587">
        <v>0.0</v>
      </c>
      <c r="Q1587">
        <v>480.0</v>
      </c>
      <c r="R1587"/>
      <c r="S1587"/>
      <c r="T1587"/>
      <c r="U1587"/>
      <c r="V1587"/>
      <c r="W1587">
        <v>18</v>
      </c>
    </row>
    <row r="1588" spans="1:23">
      <c r="A1588"/>
      <c r="B1588" t="s">
        <v>134</v>
      </c>
      <c r="C1588" t="s">
        <v>134</v>
      </c>
      <c r="D1588" t="s">
        <v>37</v>
      </c>
      <c r="E1588" t="s">
        <v>38</v>
      </c>
      <c r="F1588" t="str">
        <f>"0001666"</f>
        <v>0001666</v>
      </c>
      <c r="G1588">
        <v>1</v>
      </c>
      <c r="H1588" t="str">
        <f>"00000000"</f>
        <v>00000000</v>
      </c>
      <c r="I1588" t="s">
        <v>39</v>
      </c>
      <c r="J1588"/>
      <c r="K1588">
        <v>423.73</v>
      </c>
      <c r="L1588">
        <v>0.0</v>
      </c>
      <c r="M1588"/>
      <c r="N1588"/>
      <c r="O1588">
        <v>76.27</v>
      </c>
      <c r="P1588">
        <v>0.0</v>
      </c>
      <c r="Q1588">
        <v>500.0</v>
      </c>
      <c r="R1588"/>
      <c r="S1588"/>
      <c r="T1588"/>
      <c r="U1588"/>
      <c r="V1588"/>
      <c r="W1588">
        <v>18</v>
      </c>
    </row>
    <row r="1589" spans="1:23">
      <c r="A1589"/>
      <c r="B1589" t="s">
        <v>134</v>
      </c>
      <c r="C1589" t="s">
        <v>134</v>
      </c>
      <c r="D1589" t="s">
        <v>37</v>
      </c>
      <c r="E1589" t="s">
        <v>38</v>
      </c>
      <c r="F1589" t="str">
        <f>"0001667"</f>
        <v>0001667</v>
      </c>
      <c r="G1589">
        <v>1</v>
      </c>
      <c r="H1589" t="str">
        <f>"00000000"</f>
        <v>00000000</v>
      </c>
      <c r="I1589" t="s">
        <v>39</v>
      </c>
      <c r="J1589"/>
      <c r="K1589">
        <v>338.98</v>
      </c>
      <c r="L1589">
        <v>0.0</v>
      </c>
      <c r="M1589"/>
      <c r="N1589"/>
      <c r="O1589">
        <v>61.02</v>
      </c>
      <c r="P1589">
        <v>0.0</v>
      </c>
      <c r="Q1589">
        <v>400.0</v>
      </c>
      <c r="R1589"/>
      <c r="S1589"/>
      <c r="T1589"/>
      <c r="U1589"/>
      <c r="V1589"/>
      <c r="W1589">
        <v>18</v>
      </c>
    </row>
    <row r="1590" spans="1:23">
      <c r="A1590"/>
      <c r="B1590" t="s">
        <v>134</v>
      </c>
      <c r="C1590" t="s">
        <v>134</v>
      </c>
      <c r="D1590" t="s">
        <v>37</v>
      </c>
      <c r="E1590" t="s">
        <v>38</v>
      </c>
      <c r="F1590" t="str">
        <f>"0001668"</f>
        <v>0001668</v>
      </c>
      <c r="G1590">
        <v>1</v>
      </c>
      <c r="H1590" t="str">
        <f>"00000000"</f>
        <v>00000000</v>
      </c>
      <c r="I1590" t="s">
        <v>39</v>
      </c>
      <c r="J1590"/>
      <c r="K1590">
        <v>296.61</v>
      </c>
      <c r="L1590">
        <v>0.0</v>
      </c>
      <c r="M1590"/>
      <c r="N1590"/>
      <c r="O1590">
        <v>53.39</v>
      </c>
      <c r="P1590">
        <v>0.0</v>
      </c>
      <c r="Q1590">
        <v>350.0</v>
      </c>
      <c r="R1590"/>
      <c r="S1590"/>
      <c r="T1590"/>
      <c r="U1590"/>
      <c r="V1590"/>
      <c r="W1590">
        <v>18</v>
      </c>
    </row>
    <row r="1591" spans="1:23">
      <c r="A1591"/>
      <c r="B1591" t="s">
        <v>134</v>
      </c>
      <c r="C1591" t="s">
        <v>134</v>
      </c>
      <c r="D1591" t="s">
        <v>37</v>
      </c>
      <c r="E1591" t="s">
        <v>38</v>
      </c>
      <c r="F1591" t="str">
        <f>"0001669"</f>
        <v>0001669</v>
      </c>
      <c r="G1591">
        <v>1</v>
      </c>
      <c r="H1591" t="str">
        <f>"00000000"</f>
        <v>00000000</v>
      </c>
      <c r="I1591" t="s">
        <v>39</v>
      </c>
      <c r="J1591"/>
      <c r="K1591">
        <v>381.36</v>
      </c>
      <c r="L1591">
        <v>0.0</v>
      </c>
      <c r="M1591"/>
      <c r="N1591"/>
      <c r="O1591">
        <v>68.64</v>
      </c>
      <c r="P1591">
        <v>0.0</v>
      </c>
      <c r="Q1591">
        <v>450.0</v>
      </c>
      <c r="R1591"/>
      <c r="S1591"/>
      <c r="T1591"/>
      <c r="U1591"/>
      <c r="V1591"/>
      <c r="W1591">
        <v>18</v>
      </c>
    </row>
    <row r="1592" spans="1:23">
      <c r="A1592"/>
      <c r="B1592" t="s">
        <v>134</v>
      </c>
      <c r="C1592" t="s">
        <v>134</v>
      </c>
      <c r="D1592" t="s">
        <v>37</v>
      </c>
      <c r="E1592" t="s">
        <v>38</v>
      </c>
      <c r="F1592" t="str">
        <f>"0001670"</f>
        <v>0001670</v>
      </c>
      <c r="G1592">
        <v>1</v>
      </c>
      <c r="H1592" t="str">
        <f>"00000000"</f>
        <v>00000000</v>
      </c>
      <c r="I1592" t="s">
        <v>39</v>
      </c>
      <c r="J1592"/>
      <c r="K1592">
        <v>381.36</v>
      </c>
      <c r="L1592">
        <v>0.0</v>
      </c>
      <c r="M1592"/>
      <c r="N1592"/>
      <c r="O1592">
        <v>68.64</v>
      </c>
      <c r="P1592">
        <v>0.0</v>
      </c>
      <c r="Q1592">
        <v>450.0</v>
      </c>
      <c r="R1592"/>
      <c r="S1592"/>
      <c r="T1592"/>
      <c r="U1592"/>
      <c r="V1592"/>
      <c r="W1592">
        <v>18</v>
      </c>
    </row>
    <row r="1593" spans="1:23">
      <c r="A1593"/>
      <c r="B1593" t="s">
        <v>134</v>
      </c>
      <c r="C1593" t="s">
        <v>134</v>
      </c>
      <c r="D1593" t="s">
        <v>37</v>
      </c>
      <c r="E1593" t="s">
        <v>38</v>
      </c>
      <c r="F1593" t="str">
        <f>"0001671"</f>
        <v>0001671</v>
      </c>
      <c r="G1593">
        <v>1</v>
      </c>
      <c r="H1593" t="str">
        <f>"00000000"</f>
        <v>00000000</v>
      </c>
      <c r="I1593" t="s">
        <v>39</v>
      </c>
      <c r="J1593"/>
      <c r="K1593">
        <v>355.93</v>
      </c>
      <c r="L1593">
        <v>0.0</v>
      </c>
      <c r="M1593"/>
      <c r="N1593"/>
      <c r="O1593">
        <v>64.07</v>
      </c>
      <c r="P1593">
        <v>0.0</v>
      </c>
      <c r="Q1593">
        <v>420.0</v>
      </c>
      <c r="R1593"/>
      <c r="S1593"/>
      <c r="T1593"/>
      <c r="U1593"/>
      <c r="V1593"/>
      <c r="W1593">
        <v>18</v>
      </c>
    </row>
    <row r="1594" spans="1:23">
      <c r="A1594"/>
      <c r="B1594" t="s">
        <v>134</v>
      </c>
      <c r="C1594" t="s">
        <v>134</v>
      </c>
      <c r="D1594" t="s">
        <v>37</v>
      </c>
      <c r="E1594" t="s">
        <v>38</v>
      </c>
      <c r="F1594" t="str">
        <f>"0001672"</f>
        <v>0001672</v>
      </c>
      <c r="G1594">
        <v>1</v>
      </c>
      <c r="H1594" t="str">
        <f>"00000000"</f>
        <v>00000000</v>
      </c>
      <c r="I1594" t="s">
        <v>39</v>
      </c>
      <c r="J1594"/>
      <c r="K1594">
        <v>338.98</v>
      </c>
      <c r="L1594">
        <v>0.0</v>
      </c>
      <c r="M1594"/>
      <c r="N1594"/>
      <c r="O1594">
        <v>61.02</v>
      </c>
      <c r="P1594">
        <v>0.0</v>
      </c>
      <c r="Q1594">
        <v>400.0</v>
      </c>
      <c r="R1594"/>
      <c r="S1594"/>
      <c r="T1594"/>
      <c r="U1594"/>
      <c r="V1594"/>
      <c r="W1594">
        <v>18</v>
      </c>
    </row>
    <row r="1595" spans="1:23">
      <c r="A1595"/>
      <c r="B1595" t="s">
        <v>134</v>
      </c>
      <c r="C1595" t="s">
        <v>134</v>
      </c>
      <c r="D1595" t="s">
        <v>37</v>
      </c>
      <c r="E1595" t="s">
        <v>38</v>
      </c>
      <c r="F1595" t="str">
        <f>"0001673"</f>
        <v>0001673</v>
      </c>
      <c r="G1595">
        <v>1</v>
      </c>
      <c r="H1595" t="str">
        <f>"00000000"</f>
        <v>00000000</v>
      </c>
      <c r="I1595" t="s">
        <v>39</v>
      </c>
      <c r="J1595"/>
      <c r="K1595">
        <v>423.73</v>
      </c>
      <c r="L1595">
        <v>0.0</v>
      </c>
      <c r="M1595"/>
      <c r="N1595"/>
      <c r="O1595">
        <v>76.27</v>
      </c>
      <c r="P1595">
        <v>0.0</v>
      </c>
      <c r="Q1595">
        <v>500.0</v>
      </c>
      <c r="R1595"/>
      <c r="S1595"/>
      <c r="T1595"/>
      <c r="U1595"/>
      <c r="V1595"/>
      <c r="W1595">
        <v>18</v>
      </c>
    </row>
    <row r="1596" spans="1:23">
      <c r="A1596"/>
      <c r="B1596" t="s">
        <v>134</v>
      </c>
      <c r="C1596" t="s">
        <v>134</v>
      </c>
      <c r="D1596" t="s">
        <v>37</v>
      </c>
      <c r="E1596" t="s">
        <v>38</v>
      </c>
      <c r="F1596" t="str">
        <f>"0001674"</f>
        <v>0001674</v>
      </c>
      <c r="G1596">
        <v>1</v>
      </c>
      <c r="H1596" t="str">
        <f>"00000000"</f>
        <v>00000000</v>
      </c>
      <c r="I1596" t="s">
        <v>39</v>
      </c>
      <c r="J1596"/>
      <c r="K1596">
        <v>423.73</v>
      </c>
      <c r="L1596">
        <v>0.0</v>
      </c>
      <c r="M1596"/>
      <c r="N1596"/>
      <c r="O1596">
        <v>76.27</v>
      </c>
      <c r="P1596">
        <v>0.0</v>
      </c>
      <c r="Q1596">
        <v>500.0</v>
      </c>
      <c r="R1596"/>
      <c r="S1596"/>
      <c r="T1596"/>
      <c r="U1596"/>
      <c r="V1596"/>
      <c r="W1596">
        <v>18</v>
      </c>
    </row>
    <row r="1597" spans="1:23">
      <c r="A1597"/>
      <c r="B1597" t="s">
        <v>134</v>
      </c>
      <c r="C1597" t="s">
        <v>134</v>
      </c>
      <c r="D1597" t="s">
        <v>37</v>
      </c>
      <c r="E1597" t="s">
        <v>38</v>
      </c>
      <c r="F1597" t="str">
        <f>"0001675"</f>
        <v>0001675</v>
      </c>
      <c r="G1597">
        <v>1</v>
      </c>
      <c r="H1597" t="str">
        <f>"00000000"</f>
        <v>00000000</v>
      </c>
      <c r="I1597" t="s">
        <v>39</v>
      </c>
      <c r="J1597"/>
      <c r="K1597">
        <v>419.49</v>
      </c>
      <c r="L1597">
        <v>0.0</v>
      </c>
      <c r="M1597"/>
      <c r="N1597"/>
      <c r="O1597">
        <v>75.51</v>
      </c>
      <c r="P1597">
        <v>0.0</v>
      </c>
      <c r="Q1597">
        <v>495.0</v>
      </c>
      <c r="R1597"/>
      <c r="S1597"/>
      <c r="T1597"/>
      <c r="U1597"/>
      <c r="V1597"/>
      <c r="W1597">
        <v>18</v>
      </c>
    </row>
    <row r="1598" spans="1:23">
      <c r="A1598"/>
      <c r="B1598" t="s">
        <v>134</v>
      </c>
      <c r="C1598" t="s">
        <v>134</v>
      </c>
      <c r="D1598" t="s">
        <v>37</v>
      </c>
      <c r="E1598" t="s">
        <v>38</v>
      </c>
      <c r="F1598" t="str">
        <f>"0001676"</f>
        <v>0001676</v>
      </c>
      <c r="G1598">
        <v>1</v>
      </c>
      <c r="H1598" t="str">
        <f>"00000000"</f>
        <v>00000000</v>
      </c>
      <c r="I1598" t="s">
        <v>39</v>
      </c>
      <c r="J1598"/>
      <c r="K1598">
        <v>419.49</v>
      </c>
      <c r="L1598">
        <v>0.0</v>
      </c>
      <c r="M1598"/>
      <c r="N1598"/>
      <c r="O1598">
        <v>75.51</v>
      </c>
      <c r="P1598">
        <v>0.0</v>
      </c>
      <c r="Q1598">
        <v>495.0</v>
      </c>
      <c r="R1598"/>
      <c r="S1598"/>
      <c r="T1598"/>
      <c r="U1598"/>
      <c r="V1598"/>
      <c r="W1598">
        <v>18</v>
      </c>
    </row>
    <row r="1599" spans="1:23">
      <c r="A1599"/>
      <c r="B1599" t="s">
        <v>134</v>
      </c>
      <c r="C1599" t="s">
        <v>134</v>
      </c>
      <c r="D1599" t="s">
        <v>37</v>
      </c>
      <c r="E1599" t="s">
        <v>38</v>
      </c>
      <c r="F1599" t="str">
        <f>"0001677"</f>
        <v>0001677</v>
      </c>
      <c r="G1599">
        <v>1</v>
      </c>
      <c r="H1599" t="str">
        <f>"00000000"</f>
        <v>00000000</v>
      </c>
      <c r="I1599" t="s">
        <v>39</v>
      </c>
      <c r="J1599"/>
      <c r="K1599">
        <v>423.73</v>
      </c>
      <c r="L1599">
        <v>0.0</v>
      </c>
      <c r="M1599"/>
      <c r="N1599"/>
      <c r="O1599">
        <v>76.27</v>
      </c>
      <c r="P1599">
        <v>0.0</v>
      </c>
      <c r="Q1599">
        <v>500.0</v>
      </c>
      <c r="R1599"/>
      <c r="S1599"/>
      <c r="T1599"/>
      <c r="U1599"/>
      <c r="V1599"/>
      <c r="W1599">
        <v>18</v>
      </c>
    </row>
    <row r="1600" spans="1:23">
      <c r="A1600"/>
      <c r="B1600" t="s">
        <v>134</v>
      </c>
      <c r="C1600" t="s">
        <v>134</v>
      </c>
      <c r="D1600" t="s">
        <v>37</v>
      </c>
      <c r="E1600" t="s">
        <v>38</v>
      </c>
      <c r="F1600" t="str">
        <f>"0001678"</f>
        <v>0001678</v>
      </c>
      <c r="G1600">
        <v>1</v>
      </c>
      <c r="H1600" t="str">
        <f>"00000000"</f>
        <v>00000000</v>
      </c>
      <c r="I1600" t="s">
        <v>39</v>
      </c>
      <c r="J1600"/>
      <c r="K1600">
        <v>406.78</v>
      </c>
      <c r="L1600">
        <v>0.0</v>
      </c>
      <c r="M1600"/>
      <c r="N1600"/>
      <c r="O1600">
        <v>73.22</v>
      </c>
      <c r="P1600">
        <v>0.0</v>
      </c>
      <c r="Q1600">
        <v>480.0</v>
      </c>
      <c r="R1600"/>
      <c r="S1600"/>
      <c r="T1600"/>
      <c r="U1600"/>
      <c r="V1600"/>
      <c r="W1600">
        <v>18</v>
      </c>
    </row>
    <row r="1601" spans="1:23">
      <c r="A1601"/>
      <c r="B1601" t="s">
        <v>134</v>
      </c>
      <c r="C1601" t="s">
        <v>134</v>
      </c>
      <c r="D1601" t="s">
        <v>37</v>
      </c>
      <c r="E1601" t="s">
        <v>38</v>
      </c>
      <c r="F1601" t="str">
        <f>"0001679"</f>
        <v>0001679</v>
      </c>
      <c r="G1601">
        <v>1</v>
      </c>
      <c r="H1601" t="str">
        <f>"00000000"</f>
        <v>00000000</v>
      </c>
      <c r="I1601" t="s">
        <v>39</v>
      </c>
      <c r="J1601"/>
      <c r="K1601">
        <v>418.64</v>
      </c>
      <c r="L1601">
        <v>0.0</v>
      </c>
      <c r="M1601"/>
      <c r="N1601"/>
      <c r="O1601">
        <v>75.36</v>
      </c>
      <c r="P1601">
        <v>0.0</v>
      </c>
      <c r="Q1601">
        <v>494.0</v>
      </c>
      <c r="R1601"/>
      <c r="S1601"/>
      <c r="T1601"/>
      <c r="U1601"/>
      <c r="V1601"/>
      <c r="W1601">
        <v>18</v>
      </c>
    </row>
    <row r="1602" spans="1:23">
      <c r="A1602"/>
      <c r="B1602" t="s">
        <v>134</v>
      </c>
      <c r="C1602" t="s">
        <v>134</v>
      </c>
      <c r="D1602" t="s">
        <v>37</v>
      </c>
      <c r="E1602" t="s">
        <v>38</v>
      </c>
      <c r="F1602" t="str">
        <f>"0001680"</f>
        <v>0001680</v>
      </c>
      <c r="G1602">
        <v>1</v>
      </c>
      <c r="H1602" t="str">
        <f>"00000000"</f>
        <v>00000000</v>
      </c>
      <c r="I1602" t="s">
        <v>39</v>
      </c>
      <c r="J1602"/>
      <c r="K1602">
        <v>423.73</v>
      </c>
      <c r="L1602">
        <v>0.0</v>
      </c>
      <c r="M1602"/>
      <c r="N1602"/>
      <c r="O1602">
        <v>76.27</v>
      </c>
      <c r="P1602">
        <v>0.0</v>
      </c>
      <c r="Q1602">
        <v>500.0</v>
      </c>
      <c r="R1602"/>
      <c r="S1602"/>
      <c r="T1602"/>
      <c r="U1602"/>
      <c r="V1602"/>
      <c r="W1602">
        <v>18</v>
      </c>
    </row>
    <row r="1603" spans="1:23">
      <c r="A1603"/>
      <c r="B1603" t="s">
        <v>134</v>
      </c>
      <c r="C1603" t="s">
        <v>134</v>
      </c>
      <c r="D1603" t="s">
        <v>37</v>
      </c>
      <c r="E1603" t="s">
        <v>38</v>
      </c>
      <c r="F1603" t="str">
        <f>"0001681"</f>
        <v>0001681</v>
      </c>
      <c r="G1603">
        <v>1</v>
      </c>
      <c r="H1603" t="str">
        <f>"00000000"</f>
        <v>00000000</v>
      </c>
      <c r="I1603" t="s">
        <v>39</v>
      </c>
      <c r="J1603"/>
      <c r="K1603">
        <v>381.36</v>
      </c>
      <c r="L1603">
        <v>0.0</v>
      </c>
      <c r="M1603"/>
      <c r="N1603"/>
      <c r="O1603">
        <v>68.64</v>
      </c>
      <c r="P1603">
        <v>0.0</v>
      </c>
      <c r="Q1603">
        <v>450.0</v>
      </c>
      <c r="R1603"/>
      <c r="S1603"/>
      <c r="T1603"/>
      <c r="U1603"/>
      <c r="V1603"/>
      <c r="W1603">
        <v>18</v>
      </c>
    </row>
    <row r="1604" spans="1:23">
      <c r="A1604"/>
      <c r="B1604" t="s">
        <v>134</v>
      </c>
      <c r="C1604" t="s">
        <v>134</v>
      </c>
      <c r="D1604" t="s">
        <v>37</v>
      </c>
      <c r="E1604" t="s">
        <v>38</v>
      </c>
      <c r="F1604" t="str">
        <f>"0001682"</f>
        <v>0001682</v>
      </c>
      <c r="G1604">
        <v>1</v>
      </c>
      <c r="H1604" t="str">
        <f>"00000000"</f>
        <v>00000000</v>
      </c>
      <c r="I1604" t="s">
        <v>39</v>
      </c>
      <c r="J1604"/>
      <c r="K1604">
        <v>389.83</v>
      </c>
      <c r="L1604">
        <v>0.0</v>
      </c>
      <c r="M1604"/>
      <c r="N1604"/>
      <c r="O1604">
        <v>70.17</v>
      </c>
      <c r="P1604">
        <v>0.0</v>
      </c>
      <c r="Q1604">
        <v>460.0</v>
      </c>
      <c r="R1604"/>
      <c r="S1604"/>
      <c r="T1604"/>
      <c r="U1604"/>
      <c r="V1604"/>
      <c r="W1604">
        <v>18</v>
      </c>
    </row>
    <row r="1605" spans="1:23">
      <c r="A1605"/>
      <c r="B1605" t="s">
        <v>134</v>
      </c>
      <c r="C1605" t="s">
        <v>134</v>
      </c>
      <c r="D1605" t="s">
        <v>37</v>
      </c>
      <c r="E1605" t="s">
        <v>38</v>
      </c>
      <c r="F1605" t="str">
        <f>"0001683"</f>
        <v>0001683</v>
      </c>
      <c r="G1605">
        <v>1</v>
      </c>
      <c r="H1605" t="str">
        <f>"00000000"</f>
        <v>00000000</v>
      </c>
      <c r="I1605" t="s">
        <v>39</v>
      </c>
      <c r="J1605"/>
      <c r="K1605">
        <v>423.73</v>
      </c>
      <c r="L1605">
        <v>0.0</v>
      </c>
      <c r="M1605"/>
      <c r="N1605"/>
      <c r="O1605">
        <v>76.27</v>
      </c>
      <c r="P1605">
        <v>0.0</v>
      </c>
      <c r="Q1605">
        <v>500.0</v>
      </c>
      <c r="R1605"/>
      <c r="S1605"/>
      <c r="T1605"/>
      <c r="U1605"/>
      <c r="V1605"/>
      <c r="W1605">
        <v>18</v>
      </c>
    </row>
    <row r="1606" spans="1:23">
      <c r="A1606"/>
      <c r="B1606" t="s">
        <v>134</v>
      </c>
      <c r="C1606" t="s">
        <v>134</v>
      </c>
      <c r="D1606" t="s">
        <v>37</v>
      </c>
      <c r="E1606" t="s">
        <v>38</v>
      </c>
      <c r="F1606" t="str">
        <f>"0001684"</f>
        <v>0001684</v>
      </c>
      <c r="G1606">
        <v>1</v>
      </c>
      <c r="H1606" t="str">
        <f>"00000000"</f>
        <v>00000000</v>
      </c>
      <c r="I1606" t="s">
        <v>39</v>
      </c>
      <c r="J1606"/>
      <c r="K1606">
        <v>398.31</v>
      </c>
      <c r="L1606">
        <v>0.0</v>
      </c>
      <c r="M1606"/>
      <c r="N1606"/>
      <c r="O1606">
        <v>71.69</v>
      </c>
      <c r="P1606">
        <v>0.0</v>
      </c>
      <c r="Q1606">
        <v>470.0</v>
      </c>
      <c r="R1606"/>
      <c r="S1606"/>
      <c r="T1606"/>
      <c r="U1606"/>
      <c r="V1606"/>
      <c r="W1606">
        <v>18</v>
      </c>
    </row>
    <row r="1607" spans="1:23">
      <c r="A1607"/>
      <c r="B1607" t="s">
        <v>134</v>
      </c>
      <c r="C1607" t="s">
        <v>134</v>
      </c>
      <c r="D1607" t="s">
        <v>37</v>
      </c>
      <c r="E1607" t="s">
        <v>38</v>
      </c>
      <c r="F1607" t="str">
        <f>"0001685"</f>
        <v>0001685</v>
      </c>
      <c r="G1607">
        <v>1</v>
      </c>
      <c r="H1607" t="str">
        <f>"00000000"</f>
        <v>00000000</v>
      </c>
      <c r="I1607" t="s">
        <v>39</v>
      </c>
      <c r="J1607"/>
      <c r="K1607">
        <v>398.31</v>
      </c>
      <c r="L1607">
        <v>0.0</v>
      </c>
      <c r="M1607"/>
      <c r="N1607"/>
      <c r="O1607">
        <v>71.69</v>
      </c>
      <c r="P1607">
        <v>0.0</v>
      </c>
      <c r="Q1607">
        <v>470.0</v>
      </c>
      <c r="R1607"/>
      <c r="S1607"/>
      <c r="T1607"/>
      <c r="U1607"/>
      <c r="V1607"/>
      <c r="W1607">
        <v>18</v>
      </c>
    </row>
    <row r="1608" spans="1:23">
      <c r="A1608"/>
      <c r="B1608" t="s">
        <v>134</v>
      </c>
      <c r="C1608" t="s">
        <v>134</v>
      </c>
      <c r="D1608" t="s">
        <v>37</v>
      </c>
      <c r="E1608" t="s">
        <v>38</v>
      </c>
      <c r="F1608" t="str">
        <f>"0001686"</f>
        <v>0001686</v>
      </c>
      <c r="G1608">
        <v>1</v>
      </c>
      <c r="H1608" t="str">
        <f>"00000000"</f>
        <v>00000000</v>
      </c>
      <c r="I1608" t="s">
        <v>39</v>
      </c>
      <c r="J1608"/>
      <c r="K1608">
        <v>398.31</v>
      </c>
      <c r="L1608">
        <v>0.0</v>
      </c>
      <c r="M1608"/>
      <c r="N1608"/>
      <c r="O1608">
        <v>71.69</v>
      </c>
      <c r="P1608">
        <v>0.0</v>
      </c>
      <c r="Q1608">
        <v>470.0</v>
      </c>
      <c r="R1608"/>
      <c r="S1608"/>
      <c r="T1608"/>
      <c r="U1608"/>
      <c r="V1608"/>
      <c r="W1608">
        <v>18</v>
      </c>
    </row>
    <row r="1609" spans="1:23">
      <c r="A1609"/>
      <c r="B1609" t="s">
        <v>134</v>
      </c>
      <c r="C1609" t="s">
        <v>134</v>
      </c>
      <c r="D1609" t="s">
        <v>37</v>
      </c>
      <c r="E1609" t="s">
        <v>38</v>
      </c>
      <c r="F1609" t="str">
        <f>"0001687"</f>
        <v>0001687</v>
      </c>
      <c r="G1609">
        <v>1</v>
      </c>
      <c r="H1609" t="str">
        <f>"00000000"</f>
        <v>00000000</v>
      </c>
      <c r="I1609" t="s">
        <v>39</v>
      </c>
      <c r="J1609"/>
      <c r="K1609">
        <v>372.88</v>
      </c>
      <c r="L1609">
        <v>0.0</v>
      </c>
      <c r="M1609"/>
      <c r="N1609"/>
      <c r="O1609">
        <v>67.12</v>
      </c>
      <c r="P1609">
        <v>0.0</v>
      </c>
      <c r="Q1609">
        <v>440.0</v>
      </c>
      <c r="R1609"/>
      <c r="S1609"/>
      <c r="T1609"/>
      <c r="U1609"/>
      <c r="V1609"/>
      <c r="W1609">
        <v>18</v>
      </c>
    </row>
    <row r="1610" spans="1:23">
      <c r="A1610"/>
      <c r="B1610" t="s">
        <v>134</v>
      </c>
      <c r="C1610" t="s">
        <v>134</v>
      </c>
      <c r="D1610" t="s">
        <v>37</v>
      </c>
      <c r="E1610" t="s">
        <v>38</v>
      </c>
      <c r="F1610" t="str">
        <f>"0001688"</f>
        <v>0001688</v>
      </c>
      <c r="G1610">
        <v>1</v>
      </c>
      <c r="H1610" t="str">
        <f>"00000000"</f>
        <v>00000000</v>
      </c>
      <c r="I1610" t="s">
        <v>39</v>
      </c>
      <c r="J1610"/>
      <c r="K1610">
        <v>241.53</v>
      </c>
      <c r="L1610">
        <v>0.0</v>
      </c>
      <c r="M1610"/>
      <c r="N1610"/>
      <c r="O1610">
        <v>43.47</v>
      </c>
      <c r="P1610">
        <v>0.0</v>
      </c>
      <c r="Q1610">
        <v>285.0</v>
      </c>
      <c r="R1610"/>
      <c r="S1610"/>
      <c r="T1610"/>
      <c r="U1610"/>
      <c r="V1610"/>
      <c r="W1610">
        <v>18</v>
      </c>
    </row>
    <row r="1611" spans="1:23">
      <c r="A1611"/>
      <c r="B1611" t="s">
        <v>134</v>
      </c>
      <c r="C1611" t="s">
        <v>134</v>
      </c>
      <c r="D1611" t="s">
        <v>37</v>
      </c>
      <c r="E1611" t="s">
        <v>38</v>
      </c>
      <c r="F1611" t="str">
        <f>"0001689"</f>
        <v>0001689</v>
      </c>
      <c r="G1611">
        <v>1</v>
      </c>
      <c r="H1611" t="str">
        <f>"00000000"</f>
        <v>00000000</v>
      </c>
      <c r="I1611" t="s">
        <v>39</v>
      </c>
      <c r="J1611"/>
      <c r="K1611">
        <v>423.73</v>
      </c>
      <c r="L1611">
        <v>0.0</v>
      </c>
      <c r="M1611"/>
      <c r="N1611"/>
      <c r="O1611">
        <v>76.27</v>
      </c>
      <c r="P1611">
        <v>0.0</v>
      </c>
      <c r="Q1611">
        <v>500.0</v>
      </c>
      <c r="R1611"/>
      <c r="S1611"/>
      <c r="T1611"/>
      <c r="U1611"/>
      <c r="V1611"/>
      <c r="W1611">
        <v>18</v>
      </c>
    </row>
    <row r="1612" spans="1:23">
      <c r="A1612"/>
      <c r="B1612" t="s">
        <v>134</v>
      </c>
      <c r="C1612" t="s">
        <v>134</v>
      </c>
      <c r="D1612" t="s">
        <v>37</v>
      </c>
      <c r="E1612" t="s">
        <v>38</v>
      </c>
      <c r="F1612" t="str">
        <f>"0001690"</f>
        <v>0001690</v>
      </c>
      <c r="G1612">
        <v>1</v>
      </c>
      <c r="H1612" t="str">
        <f>"00000000"</f>
        <v>00000000</v>
      </c>
      <c r="I1612" t="s">
        <v>39</v>
      </c>
      <c r="J1612"/>
      <c r="K1612">
        <v>406.78</v>
      </c>
      <c r="L1612">
        <v>0.0</v>
      </c>
      <c r="M1612"/>
      <c r="N1612"/>
      <c r="O1612">
        <v>73.22</v>
      </c>
      <c r="P1612">
        <v>0.0</v>
      </c>
      <c r="Q1612">
        <v>480.0</v>
      </c>
      <c r="R1612"/>
      <c r="S1612"/>
      <c r="T1612"/>
      <c r="U1612"/>
      <c r="V1612"/>
      <c r="W1612">
        <v>18</v>
      </c>
    </row>
    <row r="1613" spans="1:23">
      <c r="A1613"/>
      <c r="B1613" t="s">
        <v>134</v>
      </c>
      <c r="C1613" t="s">
        <v>134</v>
      </c>
      <c r="D1613" t="s">
        <v>37</v>
      </c>
      <c r="E1613" t="s">
        <v>38</v>
      </c>
      <c r="F1613" t="str">
        <f>"0001691"</f>
        <v>0001691</v>
      </c>
      <c r="G1613">
        <v>1</v>
      </c>
      <c r="H1613" t="str">
        <f>"00000000"</f>
        <v>00000000</v>
      </c>
      <c r="I1613" t="s">
        <v>39</v>
      </c>
      <c r="J1613"/>
      <c r="K1613">
        <v>355.93</v>
      </c>
      <c r="L1613">
        <v>0.0</v>
      </c>
      <c r="M1613"/>
      <c r="N1613"/>
      <c r="O1613">
        <v>64.07</v>
      </c>
      <c r="P1613">
        <v>0.0</v>
      </c>
      <c r="Q1613">
        <v>420.0</v>
      </c>
      <c r="R1613"/>
      <c r="S1613"/>
      <c r="T1613"/>
      <c r="U1613"/>
      <c r="V1613"/>
      <c r="W1613">
        <v>18</v>
      </c>
    </row>
    <row r="1614" spans="1:23">
      <c r="A1614"/>
      <c r="B1614" t="s">
        <v>134</v>
      </c>
      <c r="C1614" t="s">
        <v>134</v>
      </c>
      <c r="D1614" t="s">
        <v>37</v>
      </c>
      <c r="E1614" t="s">
        <v>38</v>
      </c>
      <c r="F1614" t="str">
        <f>"0001692"</f>
        <v>0001692</v>
      </c>
      <c r="G1614">
        <v>1</v>
      </c>
      <c r="H1614" t="str">
        <f>"00000000"</f>
        <v>00000000</v>
      </c>
      <c r="I1614" t="s">
        <v>39</v>
      </c>
      <c r="J1614"/>
      <c r="K1614">
        <v>381.36</v>
      </c>
      <c r="L1614">
        <v>0.0</v>
      </c>
      <c r="M1614"/>
      <c r="N1614"/>
      <c r="O1614">
        <v>68.64</v>
      </c>
      <c r="P1614">
        <v>0.0</v>
      </c>
      <c r="Q1614">
        <v>450.0</v>
      </c>
      <c r="R1614"/>
      <c r="S1614"/>
      <c r="T1614"/>
      <c r="U1614"/>
      <c r="V1614"/>
      <c r="W1614">
        <v>18</v>
      </c>
    </row>
    <row r="1615" spans="1:23">
      <c r="A1615"/>
      <c r="B1615" t="s">
        <v>134</v>
      </c>
      <c r="C1615" t="s">
        <v>134</v>
      </c>
      <c r="D1615" t="s">
        <v>37</v>
      </c>
      <c r="E1615" t="s">
        <v>38</v>
      </c>
      <c r="F1615" t="str">
        <f>"0001693"</f>
        <v>0001693</v>
      </c>
      <c r="G1615">
        <v>1</v>
      </c>
      <c r="H1615" t="str">
        <f>"00000000"</f>
        <v>00000000</v>
      </c>
      <c r="I1615" t="s">
        <v>39</v>
      </c>
      <c r="J1615"/>
      <c r="K1615">
        <v>338.98</v>
      </c>
      <c r="L1615">
        <v>0.0</v>
      </c>
      <c r="M1615"/>
      <c r="N1615"/>
      <c r="O1615">
        <v>61.02</v>
      </c>
      <c r="P1615">
        <v>0.0</v>
      </c>
      <c r="Q1615">
        <v>400.0</v>
      </c>
      <c r="R1615"/>
      <c r="S1615"/>
      <c r="T1615"/>
      <c r="U1615"/>
      <c r="V1615"/>
      <c r="W1615">
        <v>18</v>
      </c>
    </row>
    <row r="1616" spans="1:23">
      <c r="A1616"/>
      <c r="B1616" t="s">
        <v>134</v>
      </c>
      <c r="C1616" t="s">
        <v>134</v>
      </c>
      <c r="D1616" t="s">
        <v>37</v>
      </c>
      <c r="E1616" t="s">
        <v>38</v>
      </c>
      <c r="F1616" t="str">
        <f>"0001694"</f>
        <v>0001694</v>
      </c>
      <c r="G1616">
        <v>1</v>
      </c>
      <c r="H1616" t="str">
        <f>"00000000"</f>
        <v>00000000</v>
      </c>
      <c r="I1616" t="s">
        <v>39</v>
      </c>
      <c r="J1616"/>
      <c r="K1616">
        <v>305.08</v>
      </c>
      <c r="L1616">
        <v>0.0</v>
      </c>
      <c r="M1616"/>
      <c r="N1616"/>
      <c r="O1616">
        <v>54.92</v>
      </c>
      <c r="P1616">
        <v>0.0</v>
      </c>
      <c r="Q1616">
        <v>360.0</v>
      </c>
      <c r="R1616"/>
      <c r="S1616"/>
      <c r="T1616"/>
      <c r="U1616"/>
      <c r="V1616"/>
      <c r="W1616">
        <v>18</v>
      </c>
    </row>
    <row r="1617" spans="1:23">
      <c r="A1617"/>
      <c r="B1617" t="s">
        <v>134</v>
      </c>
      <c r="C1617" t="s">
        <v>134</v>
      </c>
      <c r="D1617" t="s">
        <v>37</v>
      </c>
      <c r="E1617" t="s">
        <v>38</v>
      </c>
      <c r="F1617" t="str">
        <f>"0001695"</f>
        <v>0001695</v>
      </c>
      <c r="G1617">
        <v>1</v>
      </c>
      <c r="H1617" t="str">
        <f>"00000000"</f>
        <v>00000000</v>
      </c>
      <c r="I1617" t="s">
        <v>39</v>
      </c>
      <c r="J1617"/>
      <c r="K1617">
        <v>330.51</v>
      </c>
      <c r="L1617">
        <v>0.0</v>
      </c>
      <c r="M1617"/>
      <c r="N1617"/>
      <c r="O1617">
        <v>59.49</v>
      </c>
      <c r="P1617">
        <v>0.0</v>
      </c>
      <c r="Q1617">
        <v>390.0</v>
      </c>
      <c r="R1617"/>
      <c r="S1617"/>
      <c r="T1617"/>
      <c r="U1617"/>
      <c r="V1617"/>
      <c r="W1617">
        <v>18</v>
      </c>
    </row>
    <row r="1618" spans="1:23">
      <c r="A1618"/>
      <c r="B1618" t="s">
        <v>134</v>
      </c>
      <c r="C1618" t="s">
        <v>134</v>
      </c>
      <c r="D1618" t="s">
        <v>37</v>
      </c>
      <c r="E1618" t="s">
        <v>38</v>
      </c>
      <c r="F1618" t="str">
        <f>"0001696"</f>
        <v>0001696</v>
      </c>
      <c r="G1618">
        <v>1</v>
      </c>
      <c r="H1618" t="str">
        <f>"00000000"</f>
        <v>00000000</v>
      </c>
      <c r="I1618" t="s">
        <v>39</v>
      </c>
      <c r="J1618"/>
      <c r="K1618">
        <v>237.29</v>
      </c>
      <c r="L1618">
        <v>0.0</v>
      </c>
      <c r="M1618"/>
      <c r="N1618"/>
      <c r="O1618">
        <v>42.71</v>
      </c>
      <c r="P1618">
        <v>0.0</v>
      </c>
      <c r="Q1618">
        <v>280.0</v>
      </c>
      <c r="R1618"/>
      <c r="S1618"/>
      <c r="T1618"/>
      <c r="U1618"/>
      <c r="V1618"/>
      <c r="W1618">
        <v>18</v>
      </c>
    </row>
    <row r="1619" spans="1:23">
      <c r="A1619"/>
      <c r="B1619" t="s">
        <v>134</v>
      </c>
      <c r="C1619" t="s">
        <v>134</v>
      </c>
      <c r="D1619" t="s">
        <v>37</v>
      </c>
      <c r="E1619" t="s">
        <v>38</v>
      </c>
      <c r="F1619" t="str">
        <f>"0001697"</f>
        <v>0001697</v>
      </c>
      <c r="G1619">
        <v>1</v>
      </c>
      <c r="H1619" t="str">
        <f>"00000000"</f>
        <v>00000000</v>
      </c>
      <c r="I1619" t="s">
        <v>39</v>
      </c>
      <c r="J1619"/>
      <c r="K1619">
        <v>406.78</v>
      </c>
      <c r="L1619">
        <v>0.0</v>
      </c>
      <c r="M1619"/>
      <c r="N1619"/>
      <c r="O1619">
        <v>73.22</v>
      </c>
      <c r="P1619">
        <v>0.0</v>
      </c>
      <c r="Q1619">
        <v>480.0</v>
      </c>
      <c r="R1619"/>
      <c r="S1619"/>
      <c r="T1619"/>
      <c r="U1619"/>
      <c r="V1619"/>
      <c r="W1619">
        <v>18</v>
      </c>
    </row>
    <row r="1620" spans="1:23">
      <c r="A1620"/>
      <c r="B1620" t="s">
        <v>135</v>
      </c>
      <c r="C1620" t="s">
        <v>135</v>
      </c>
      <c r="D1620" t="s">
        <v>37</v>
      </c>
      <c r="E1620" t="s">
        <v>38</v>
      </c>
      <c r="F1620" t="str">
        <f>"0001698"</f>
        <v>0001698</v>
      </c>
      <c r="G1620">
        <v>1</v>
      </c>
      <c r="H1620" t="str">
        <f>"00000000"</f>
        <v>00000000</v>
      </c>
      <c r="I1620" t="s">
        <v>39</v>
      </c>
      <c r="J1620"/>
      <c r="K1620">
        <v>423.73</v>
      </c>
      <c r="L1620">
        <v>0.0</v>
      </c>
      <c r="M1620"/>
      <c r="N1620"/>
      <c r="O1620">
        <v>76.27</v>
      </c>
      <c r="P1620">
        <v>0.0</v>
      </c>
      <c r="Q1620">
        <v>500.0</v>
      </c>
      <c r="R1620"/>
      <c r="S1620"/>
      <c r="T1620"/>
      <c r="U1620"/>
      <c r="V1620"/>
      <c r="W1620">
        <v>18</v>
      </c>
    </row>
    <row r="1621" spans="1:23">
      <c r="A1621"/>
      <c r="B1621" t="s">
        <v>135</v>
      </c>
      <c r="C1621" t="s">
        <v>135</v>
      </c>
      <c r="D1621" t="s">
        <v>37</v>
      </c>
      <c r="E1621" t="s">
        <v>38</v>
      </c>
      <c r="F1621" t="str">
        <f>"0001699"</f>
        <v>0001699</v>
      </c>
      <c r="G1621">
        <v>1</v>
      </c>
      <c r="H1621" t="str">
        <f>"00000000"</f>
        <v>00000000</v>
      </c>
      <c r="I1621" t="s">
        <v>39</v>
      </c>
      <c r="J1621"/>
      <c r="K1621">
        <v>423.73</v>
      </c>
      <c r="L1621">
        <v>0.0</v>
      </c>
      <c r="M1621"/>
      <c r="N1621"/>
      <c r="O1621">
        <v>76.27</v>
      </c>
      <c r="P1621">
        <v>0.0</v>
      </c>
      <c r="Q1621">
        <v>500.0</v>
      </c>
      <c r="R1621"/>
      <c r="S1621"/>
      <c r="T1621"/>
      <c r="U1621"/>
      <c r="V1621"/>
      <c r="W1621">
        <v>18</v>
      </c>
    </row>
    <row r="1622" spans="1:23">
      <c r="A1622"/>
      <c r="B1622" t="s">
        <v>135</v>
      </c>
      <c r="C1622" t="s">
        <v>135</v>
      </c>
      <c r="D1622" t="s">
        <v>37</v>
      </c>
      <c r="E1622" t="s">
        <v>38</v>
      </c>
      <c r="F1622" t="str">
        <f>"0001700"</f>
        <v>0001700</v>
      </c>
      <c r="G1622">
        <v>1</v>
      </c>
      <c r="H1622" t="str">
        <f>"00000000"</f>
        <v>00000000</v>
      </c>
      <c r="I1622" t="s">
        <v>39</v>
      </c>
      <c r="J1622"/>
      <c r="K1622">
        <v>338.98</v>
      </c>
      <c r="L1622">
        <v>0.0</v>
      </c>
      <c r="M1622"/>
      <c r="N1622"/>
      <c r="O1622">
        <v>61.02</v>
      </c>
      <c r="P1622">
        <v>0.0</v>
      </c>
      <c r="Q1622">
        <v>400.0</v>
      </c>
      <c r="R1622"/>
      <c r="S1622"/>
      <c r="T1622"/>
      <c r="U1622"/>
      <c r="V1622"/>
      <c r="W1622">
        <v>18</v>
      </c>
    </row>
    <row r="1623" spans="1:23">
      <c r="A1623"/>
      <c r="B1623" t="s">
        <v>135</v>
      </c>
      <c r="C1623" t="s">
        <v>135</v>
      </c>
      <c r="D1623" t="s">
        <v>37</v>
      </c>
      <c r="E1623" t="s">
        <v>38</v>
      </c>
      <c r="F1623" t="str">
        <f>"0001701"</f>
        <v>0001701</v>
      </c>
      <c r="G1623">
        <v>1</v>
      </c>
      <c r="H1623" t="str">
        <f>"00000000"</f>
        <v>00000000</v>
      </c>
      <c r="I1623" t="s">
        <v>39</v>
      </c>
      <c r="J1623"/>
      <c r="K1623">
        <v>343.22</v>
      </c>
      <c r="L1623">
        <v>0.0</v>
      </c>
      <c r="M1623"/>
      <c r="N1623"/>
      <c r="O1623">
        <v>61.78</v>
      </c>
      <c r="P1623">
        <v>0.0</v>
      </c>
      <c r="Q1623">
        <v>405.0</v>
      </c>
      <c r="R1623"/>
      <c r="S1623"/>
      <c r="T1623"/>
      <c r="U1623"/>
      <c r="V1623"/>
      <c r="W1623">
        <v>18</v>
      </c>
    </row>
    <row r="1624" spans="1:23">
      <c r="A1624"/>
      <c r="B1624" t="s">
        <v>136</v>
      </c>
      <c r="C1624" t="s">
        <v>136</v>
      </c>
      <c r="D1624" t="s">
        <v>37</v>
      </c>
      <c r="E1624" t="s">
        <v>38</v>
      </c>
      <c r="F1624" t="str">
        <f>"0001702"</f>
        <v>0001702</v>
      </c>
      <c r="G1624">
        <v>1</v>
      </c>
      <c r="H1624" t="str">
        <f>"00000000"</f>
        <v>00000000</v>
      </c>
      <c r="I1624" t="s">
        <v>39</v>
      </c>
      <c r="J1624"/>
      <c r="K1624">
        <v>423.73</v>
      </c>
      <c r="L1624">
        <v>0.0</v>
      </c>
      <c r="M1624"/>
      <c r="N1624"/>
      <c r="O1624">
        <v>76.27</v>
      </c>
      <c r="P1624">
        <v>0.0</v>
      </c>
      <c r="Q1624">
        <v>500.0</v>
      </c>
      <c r="R1624"/>
      <c r="S1624"/>
      <c r="T1624"/>
      <c r="U1624"/>
      <c r="V1624"/>
      <c r="W1624">
        <v>18</v>
      </c>
    </row>
    <row r="1625" spans="1:23">
      <c r="A1625"/>
      <c r="B1625" t="s">
        <v>136</v>
      </c>
      <c r="C1625" t="s">
        <v>136</v>
      </c>
      <c r="D1625" t="s">
        <v>33</v>
      </c>
      <c r="E1625" t="s">
        <v>34</v>
      </c>
      <c r="F1625" t="str">
        <f>"0000055"</f>
        <v>0000055</v>
      </c>
      <c r="G1625">
        <v>6</v>
      </c>
      <c r="H1625" t="str">
        <f>"20539078497"</f>
        <v>20539078497</v>
      </c>
      <c r="I1625" t="s">
        <v>137</v>
      </c>
      <c r="J1625"/>
      <c r="K1625">
        <v>381.36</v>
      </c>
      <c r="L1625">
        <v>0.0</v>
      </c>
      <c r="M1625"/>
      <c r="N1625"/>
      <c r="O1625">
        <v>68.64</v>
      </c>
      <c r="P1625">
        <v>0.0</v>
      </c>
      <c r="Q1625">
        <v>450.0</v>
      </c>
      <c r="R1625"/>
      <c r="S1625"/>
      <c r="T1625"/>
      <c r="U1625"/>
      <c r="V1625"/>
      <c r="W1625">
        <v>18</v>
      </c>
    </row>
    <row r="1626" spans="1:23">
      <c r="A1626"/>
      <c r="B1626" t="s">
        <v>136</v>
      </c>
      <c r="C1626" t="s">
        <v>136</v>
      </c>
      <c r="D1626" t="s">
        <v>37</v>
      </c>
      <c r="E1626" t="s">
        <v>38</v>
      </c>
      <c r="F1626" t="str">
        <f>"0001703"</f>
        <v>0001703</v>
      </c>
      <c r="G1626">
        <v>1</v>
      </c>
      <c r="H1626" t="str">
        <f>"00000000"</f>
        <v>00000000</v>
      </c>
      <c r="I1626" t="s">
        <v>39</v>
      </c>
      <c r="J1626"/>
      <c r="K1626">
        <v>423.73</v>
      </c>
      <c r="L1626">
        <v>0.0</v>
      </c>
      <c r="M1626"/>
      <c r="N1626"/>
      <c r="O1626">
        <v>76.27</v>
      </c>
      <c r="P1626">
        <v>0.0</v>
      </c>
      <c r="Q1626">
        <v>500.0</v>
      </c>
      <c r="R1626"/>
      <c r="S1626"/>
      <c r="T1626"/>
      <c r="U1626"/>
      <c r="V1626"/>
      <c r="W1626">
        <v>18</v>
      </c>
    </row>
    <row r="1627" spans="1:23">
      <c r="A1627"/>
      <c r="B1627" t="s">
        <v>138</v>
      </c>
      <c r="C1627" t="s">
        <v>138</v>
      </c>
      <c r="D1627" t="s">
        <v>37</v>
      </c>
      <c r="E1627" t="s">
        <v>38</v>
      </c>
      <c r="F1627" t="str">
        <f>"0001704"</f>
        <v>0001704</v>
      </c>
      <c r="G1627">
        <v>1</v>
      </c>
      <c r="H1627" t="str">
        <f>"00000000"</f>
        <v>00000000</v>
      </c>
      <c r="I1627" t="s">
        <v>39</v>
      </c>
      <c r="J1627"/>
      <c r="K1627">
        <v>508.47</v>
      </c>
      <c r="L1627">
        <v>0.0</v>
      </c>
      <c r="M1627"/>
      <c r="N1627"/>
      <c r="O1627">
        <v>91.53</v>
      </c>
      <c r="P1627">
        <v>0.0</v>
      </c>
      <c r="Q1627">
        <v>600.0</v>
      </c>
      <c r="R1627"/>
      <c r="S1627"/>
      <c r="T1627"/>
      <c r="U1627"/>
      <c r="V1627"/>
      <c r="W1627">
        <v>18</v>
      </c>
    </row>
    <row r="1628" spans="1:23">
      <c r="A1628"/>
      <c r="B1628" t="s">
        <v>138</v>
      </c>
      <c r="C1628" t="s">
        <v>138</v>
      </c>
      <c r="D1628" t="s">
        <v>37</v>
      </c>
      <c r="E1628" t="s">
        <v>38</v>
      </c>
      <c r="F1628" t="str">
        <f>"0001705"</f>
        <v>0001705</v>
      </c>
      <c r="G1628">
        <v>1</v>
      </c>
      <c r="H1628" t="str">
        <f>"00000000"</f>
        <v>00000000</v>
      </c>
      <c r="I1628" t="s">
        <v>39</v>
      </c>
      <c r="J1628"/>
      <c r="K1628">
        <v>423.73</v>
      </c>
      <c r="L1628">
        <v>0.0</v>
      </c>
      <c r="M1628"/>
      <c r="N1628"/>
      <c r="O1628">
        <v>76.27</v>
      </c>
      <c r="P1628">
        <v>0.0</v>
      </c>
      <c r="Q1628">
        <v>500.0</v>
      </c>
      <c r="R1628"/>
      <c r="S1628"/>
      <c r="T1628"/>
      <c r="U1628"/>
      <c r="V1628"/>
      <c r="W1628">
        <v>18</v>
      </c>
    </row>
    <row r="1629" spans="1:23">
      <c r="A1629"/>
      <c r="B1629" t="s">
        <v>138</v>
      </c>
      <c r="C1629" t="s">
        <v>138</v>
      </c>
      <c r="D1629" t="s">
        <v>37</v>
      </c>
      <c r="E1629" t="s">
        <v>38</v>
      </c>
      <c r="F1629" t="str">
        <f>"0001706"</f>
        <v>0001706</v>
      </c>
      <c r="G1629">
        <v>1</v>
      </c>
      <c r="H1629" t="str">
        <f>"00000000"</f>
        <v>00000000</v>
      </c>
      <c r="I1629" t="s">
        <v>39</v>
      </c>
      <c r="J1629"/>
      <c r="K1629">
        <v>366.1</v>
      </c>
      <c r="L1629">
        <v>0.0</v>
      </c>
      <c r="M1629"/>
      <c r="N1629"/>
      <c r="O1629">
        <v>65.9</v>
      </c>
      <c r="P1629">
        <v>0.0</v>
      </c>
      <c r="Q1629">
        <v>432.0</v>
      </c>
      <c r="R1629"/>
      <c r="S1629"/>
      <c r="T1629"/>
      <c r="U1629"/>
      <c r="V1629"/>
      <c r="W1629">
        <v>18</v>
      </c>
    </row>
    <row r="1630" spans="1:23">
      <c r="A1630"/>
      <c r="B1630" t="s">
        <v>138</v>
      </c>
      <c r="C1630" t="s">
        <v>138</v>
      </c>
      <c r="D1630" t="s">
        <v>37</v>
      </c>
      <c r="E1630" t="s">
        <v>38</v>
      </c>
      <c r="F1630" t="str">
        <f>"0001707"</f>
        <v>0001707</v>
      </c>
      <c r="G1630">
        <v>1</v>
      </c>
      <c r="H1630" t="str">
        <f>"00000000"</f>
        <v>00000000</v>
      </c>
      <c r="I1630" t="s">
        <v>39</v>
      </c>
      <c r="J1630"/>
      <c r="K1630">
        <v>355.93</v>
      </c>
      <c r="L1630">
        <v>0.0</v>
      </c>
      <c r="M1630"/>
      <c r="N1630"/>
      <c r="O1630">
        <v>64.07</v>
      </c>
      <c r="P1630">
        <v>0.0</v>
      </c>
      <c r="Q1630">
        <v>420.0</v>
      </c>
      <c r="R1630"/>
      <c r="S1630"/>
      <c r="T1630"/>
      <c r="U1630"/>
      <c r="V1630"/>
      <c r="W1630">
        <v>18</v>
      </c>
    </row>
    <row r="1631" spans="1:23">
      <c r="A1631"/>
      <c r="B1631" t="s">
        <v>138</v>
      </c>
      <c r="C1631" t="s">
        <v>138</v>
      </c>
      <c r="D1631" t="s">
        <v>37</v>
      </c>
      <c r="E1631" t="s">
        <v>38</v>
      </c>
      <c r="F1631" t="str">
        <f>"0001708"</f>
        <v>0001708</v>
      </c>
      <c r="G1631">
        <v>1</v>
      </c>
      <c r="H1631" t="str">
        <f>"00000000"</f>
        <v>00000000</v>
      </c>
      <c r="I1631" t="s">
        <v>39</v>
      </c>
      <c r="J1631"/>
      <c r="K1631">
        <v>366.1</v>
      </c>
      <c r="L1631">
        <v>0.0</v>
      </c>
      <c r="M1631"/>
      <c r="N1631"/>
      <c r="O1631">
        <v>65.9</v>
      </c>
      <c r="P1631">
        <v>0.0</v>
      </c>
      <c r="Q1631">
        <v>432.0</v>
      </c>
      <c r="R1631"/>
      <c r="S1631"/>
      <c r="T1631"/>
      <c r="U1631"/>
      <c r="V1631"/>
      <c r="W1631">
        <v>18</v>
      </c>
    </row>
    <row r="1632" spans="1:23">
      <c r="A1632"/>
      <c r="B1632" t="s">
        <v>138</v>
      </c>
      <c r="C1632" t="s">
        <v>138</v>
      </c>
      <c r="D1632" t="s">
        <v>37</v>
      </c>
      <c r="E1632" t="s">
        <v>38</v>
      </c>
      <c r="F1632" t="str">
        <f>"0001709"</f>
        <v>0001709</v>
      </c>
      <c r="G1632">
        <v>1</v>
      </c>
      <c r="H1632" t="str">
        <f>"00000000"</f>
        <v>00000000</v>
      </c>
      <c r="I1632" t="s">
        <v>39</v>
      </c>
      <c r="J1632"/>
      <c r="K1632">
        <v>338.98</v>
      </c>
      <c r="L1632">
        <v>0.0</v>
      </c>
      <c r="M1632"/>
      <c r="N1632"/>
      <c r="O1632">
        <v>61.02</v>
      </c>
      <c r="P1632">
        <v>0.0</v>
      </c>
      <c r="Q1632">
        <v>400.0</v>
      </c>
      <c r="R1632"/>
      <c r="S1632"/>
      <c r="T1632"/>
      <c r="U1632"/>
      <c r="V1632"/>
      <c r="W1632">
        <v>18</v>
      </c>
    </row>
    <row r="1633" spans="1:23">
      <c r="A1633"/>
      <c r="B1633" t="s">
        <v>138</v>
      </c>
      <c r="C1633" t="s">
        <v>138</v>
      </c>
      <c r="D1633" t="s">
        <v>37</v>
      </c>
      <c r="E1633" t="s">
        <v>38</v>
      </c>
      <c r="F1633" t="str">
        <f>"0001710"</f>
        <v>0001710</v>
      </c>
      <c r="G1633">
        <v>1</v>
      </c>
      <c r="H1633" t="str">
        <f>"00000000"</f>
        <v>00000000</v>
      </c>
      <c r="I1633" t="s">
        <v>39</v>
      </c>
      <c r="J1633"/>
      <c r="K1633">
        <v>508.47</v>
      </c>
      <c r="L1633">
        <v>0.0</v>
      </c>
      <c r="M1633"/>
      <c r="N1633"/>
      <c r="O1633">
        <v>91.53</v>
      </c>
      <c r="P1633">
        <v>0.0</v>
      </c>
      <c r="Q1633">
        <v>600.0</v>
      </c>
      <c r="R1633"/>
      <c r="S1633"/>
      <c r="T1633"/>
      <c r="U1633"/>
      <c r="V1633"/>
      <c r="W1633">
        <v>18</v>
      </c>
    </row>
    <row r="1634" spans="1:23">
      <c r="A1634"/>
      <c r="B1634" t="s">
        <v>138</v>
      </c>
      <c r="C1634" t="s">
        <v>138</v>
      </c>
      <c r="D1634" t="s">
        <v>37</v>
      </c>
      <c r="E1634" t="s">
        <v>38</v>
      </c>
      <c r="F1634" t="str">
        <f>"0001711"</f>
        <v>0001711</v>
      </c>
      <c r="G1634">
        <v>1</v>
      </c>
      <c r="H1634" t="str">
        <f>"00000000"</f>
        <v>00000000</v>
      </c>
      <c r="I1634" t="s">
        <v>39</v>
      </c>
      <c r="J1634"/>
      <c r="K1634">
        <v>406.78</v>
      </c>
      <c r="L1634">
        <v>0.0</v>
      </c>
      <c r="M1634"/>
      <c r="N1634"/>
      <c r="O1634">
        <v>73.22</v>
      </c>
      <c r="P1634">
        <v>0.0</v>
      </c>
      <c r="Q1634">
        <v>480.0</v>
      </c>
      <c r="R1634"/>
      <c r="S1634"/>
      <c r="T1634"/>
      <c r="U1634"/>
      <c r="V1634"/>
      <c r="W1634">
        <v>18</v>
      </c>
    </row>
    <row r="1635" spans="1:23">
      <c r="A1635"/>
      <c r="B1635" t="s">
        <v>138</v>
      </c>
      <c r="C1635" t="s">
        <v>138</v>
      </c>
      <c r="D1635" t="s">
        <v>37</v>
      </c>
      <c r="E1635" t="s">
        <v>38</v>
      </c>
      <c r="F1635" t="str">
        <f>"0001712"</f>
        <v>0001712</v>
      </c>
      <c r="G1635">
        <v>1</v>
      </c>
      <c r="H1635" t="str">
        <f>"00000000"</f>
        <v>00000000</v>
      </c>
      <c r="I1635" t="s">
        <v>39</v>
      </c>
      <c r="J1635"/>
      <c r="K1635">
        <v>423.73</v>
      </c>
      <c r="L1635">
        <v>0.0</v>
      </c>
      <c r="M1635"/>
      <c r="N1635"/>
      <c r="O1635">
        <v>76.27</v>
      </c>
      <c r="P1635">
        <v>0.0</v>
      </c>
      <c r="Q1635">
        <v>500.0</v>
      </c>
      <c r="R1635"/>
      <c r="S1635"/>
      <c r="T1635"/>
      <c r="U1635"/>
      <c r="V1635"/>
      <c r="W1635">
        <v>18</v>
      </c>
    </row>
    <row r="1636" spans="1:23">
      <c r="A1636"/>
      <c r="B1636" t="s">
        <v>138</v>
      </c>
      <c r="C1636" t="s">
        <v>138</v>
      </c>
      <c r="D1636" t="s">
        <v>37</v>
      </c>
      <c r="E1636" t="s">
        <v>38</v>
      </c>
      <c r="F1636" t="str">
        <f>"0001713"</f>
        <v>0001713</v>
      </c>
      <c r="G1636">
        <v>1</v>
      </c>
      <c r="H1636" t="str">
        <f>"00000000"</f>
        <v>00000000</v>
      </c>
      <c r="I1636" t="s">
        <v>39</v>
      </c>
      <c r="J1636"/>
      <c r="K1636">
        <v>355.93</v>
      </c>
      <c r="L1636">
        <v>0.0</v>
      </c>
      <c r="M1636"/>
      <c r="N1636"/>
      <c r="O1636">
        <v>64.07</v>
      </c>
      <c r="P1636">
        <v>0.0</v>
      </c>
      <c r="Q1636">
        <v>420.0</v>
      </c>
      <c r="R1636"/>
      <c r="S1636"/>
      <c r="T1636"/>
      <c r="U1636"/>
      <c r="V1636"/>
      <c r="W1636">
        <v>18</v>
      </c>
    </row>
    <row r="1637" spans="1:23">
      <c r="A1637"/>
      <c r="B1637" t="s">
        <v>138</v>
      </c>
      <c r="C1637" t="s">
        <v>138</v>
      </c>
      <c r="D1637" t="s">
        <v>37</v>
      </c>
      <c r="E1637" t="s">
        <v>38</v>
      </c>
      <c r="F1637" t="str">
        <f>"0001714"</f>
        <v>0001714</v>
      </c>
      <c r="G1637">
        <v>1</v>
      </c>
      <c r="H1637" t="str">
        <f>"00000000"</f>
        <v>00000000</v>
      </c>
      <c r="I1637" t="s">
        <v>39</v>
      </c>
      <c r="J1637"/>
      <c r="K1637">
        <v>305.08</v>
      </c>
      <c r="L1637">
        <v>0.0</v>
      </c>
      <c r="M1637"/>
      <c r="N1637"/>
      <c r="O1637">
        <v>54.92</v>
      </c>
      <c r="P1637">
        <v>0.0</v>
      </c>
      <c r="Q1637">
        <v>360.0</v>
      </c>
      <c r="R1637"/>
      <c r="S1637"/>
      <c r="T1637"/>
      <c r="U1637"/>
      <c r="V1637"/>
      <c r="W1637">
        <v>18</v>
      </c>
    </row>
    <row r="1638" spans="1:23">
      <c r="A1638"/>
      <c r="B1638" t="s">
        <v>138</v>
      </c>
      <c r="C1638" t="s">
        <v>138</v>
      </c>
      <c r="D1638" t="s">
        <v>37</v>
      </c>
      <c r="E1638" t="s">
        <v>38</v>
      </c>
      <c r="F1638" t="str">
        <f>"0001715"</f>
        <v>0001715</v>
      </c>
      <c r="G1638">
        <v>1</v>
      </c>
      <c r="H1638" t="str">
        <f>"00000000"</f>
        <v>00000000</v>
      </c>
      <c r="I1638" t="s">
        <v>39</v>
      </c>
      <c r="J1638"/>
      <c r="K1638">
        <v>355.93</v>
      </c>
      <c r="L1638">
        <v>0.0</v>
      </c>
      <c r="M1638"/>
      <c r="N1638"/>
      <c r="O1638">
        <v>64.07</v>
      </c>
      <c r="P1638">
        <v>0.0</v>
      </c>
      <c r="Q1638">
        <v>420.0</v>
      </c>
      <c r="R1638"/>
      <c r="S1638"/>
      <c r="T1638"/>
      <c r="U1638"/>
      <c r="V1638"/>
      <c r="W1638">
        <v>18</v>
      </c>
    </row>
    <row r="1639" spans="1:23">
      <c r="A1639"/>
      <c r="B1639" t="s">
        <v>138</v>
      </c>
      <c r="C1639" t="s">
        <v>138</v>
      </c>
      <c r="D1639" t="s">
        <v>37</v>
      </c>
      <c r="E1639" t="s">
        <v>38</v>
      </c>
      <c r="F1639" t="str">
        <f>"0001716"</f>
        <v>0001716</v>
      </c>
      <c r="G1639">
        <v>1</v>
      </c>
      <c r="H1639" t="str">
        <f>"00000000"</f>
        <v>00000000</v>
      </c>
      <c r="I1639" t="s">
        <v>39</v>
      </c>
      <c r="J1639"/>
      <c r="K1639">
        <v>593.22</v>
      </c>
      <c r="L1639">
        <v>0.0</v>
      </c>
      <c r="M1639"/>
      <c r="N1639"/>
      <c r="O1639">
        <v>106.78</v>
      </c>
      <c r="P1639">
        <v>0.0</v>
      </c>
      <c r="Q1639">
        <v>700.0</v>
      </c>
      <c r="R1639"/>
      <c r="S1639"/>
      <c r="T1639"/>
      <c r="U1639"/>
      <c r="V1639"/>
      <c r="W1639">
        <v>18</v>
      </c>
    </row>
    <row r="1640" spans="1:23">
      <c r="A1640"/>
      <c r="B1640" t="s">
        <v>138</v>
      </c>
      <c r="C1640" t="s">
        <v>138</v>
      </c>
      <c r="D1640" t="s">
        <v>37</v>
      </c>
      <c r="E1640" t="s">
        <v>38</v>
      </c>
      <c r="F1640" t="str">
        <f>"0001717"</f>
        <v>0001717</v>
      </c>
      <c r="G1640">
        <v>1</v>
      </c>
      <c r="H1640" t="str">
        <f>"00000000"</f>
        <v>00000000</v>
      </c>
      <c r="I1640" t="s">
        <v>39</v>
      </c>
      <c r="J1640"/>
      <c r="K1640">
        <v>508.47</v>
      </c>
      <c r="L1640">
        <v>0.0</v>
      </c>
      <c r="M1640"/>
      <c r="N1640"/>
      <c r="O1640">
        <v>91.53</v>
      </c>
      <c r="P1640">
        <v>0.0</v>
      </c>
      <c r="Q1640">
        <v>600.0</v>
      </c>
      <c r="R1640"/>
      <c r="S1640"/>
      <c r="T1640"/>
      <c r="U1640"/>
      <c r="V1640"/>
      <c r="W1640">
        <v>18</v>
      </c>
    </row>
    <row r="1641" spans="1:23">
      <c r="A1641"/>
      <c r="B1641" t="s">
        <v>138</v>
      </c>
      <c r="C1641" t="s">
        <v>138</v>
      </c>
      <c r="D1641" t="s">
        <v>37</v>
      </c>
      <c r="E1641" t="s">
        <v>38</v>
      </c>
      <c r="F1641" t="str">
        <f>"0001718"</f>
        <v>0001718</v>
      </c>
      <c r="G1641">
        <v>1</v>
      </c>
      <c r="H1641" t="str">
        <f>"00000000"</f>
        <v>00000000</v>
      </c>
      <c r="I1641" t="s">
        <v>39</v>
      </c>
      <c r="J1641"/>
      <c r="K1641">
        <v>423.73</v>
      </c>
      <c r="L1641">
        <v>0.0</v>
      </c>
      <c r="M1641"/>
      <c r="N1641"/>
      <c r="O1641">
        <v>76.27</v>
      </c>
      <c r="P1641">
        <v>0.0</v>
      </c>
      <c r="Q1641">
        <v>500.0</v>
      </c>
      <c r="R1641"/>
      <c r="S1641"/>
      <c r="T1641"/>
      <c r="U1641"/>
      <c r="V1641"/>
      <c r="W1641">
        <v>18</v>
      </c>
    </row>
    <row r="1642" spans="1:23">
      <c r="A1642"/>
      <c r="B1642" t="s">
        <v>138</v>
      </c>
      <c r="C1642" t="s">
        <v>138</v>
      </c>
      <c r="D1642" t="s">
        <v>37</v>
      </c>
      <c r="E1642" t="s">
        <v>38</v>
      </c>
      <c r="F1642" t="str">
        <f>"0001719"</f>
        <v>0001719</v>
      </c>
      <c r="G1642">
        <v>1</v>
      </c>
      <c r="H1642" t="str">
        <f>"00000000"</f>
        <v>00000000</v>
      </c>
      <c r="I1642" t="s">
        <v>39</v>
      </c>
      <c r="J1642"/>
      <c r="K1642">
        <v>457.63</v>
      </c>
      <c r="L1642">
        <v>0.0</v>
      </c>
      <c r="M1642"/>
      <c r="N1642"/>
      <c r="O1642">
        <v>82.37</v>
      </c>
      <c r="P1642">
        <v>0.0</v>
      </c>
      <c r="Q1642">
        <v>540.0</v>
      </c>
      <c r="R1642"/>
      <c r="S1642"/>
      <c r="T1642"/>
      <c r="U1642"/>
      <c r="V1642"/>
      <c r="W1642">
        <v>18</v>
      </c>
    </row>
    <row r="1643" spans="1:23">
      <c r="A1643"/>
      <c r="B1643" t="s">
        <v>138</v>
      </c>
      <c r="C1643" t="s">
        <v>138</v>
      </c>
      <c r="D1643" t="s">
        <v>37</v>
      </c>
      <c r="E1643" t="s">
        <v>38</v>
      </c>
      <c r="F1643" t="str">
        <f>"0001720"</f>
        <v>0001720</v>
      </c>
      <c r="G1643">
        <v>1</v>
      </c>
      <c r="H1643" t="str">
        <f>"00000000"</f>
        <v>00000000</v>
      </c>
      <c r="I1643" t="s">
        <v>39</v>
      </c>
      <c r="J1643"/>
      <c r="K1643">
        <v>254.24</v>
      </c>
      <c r="L1643">
        <v>0.0</v>
      </c>
      <c r="M1643"/>
      <c r="N1643"/>
      <c r="O1643">
        <v>45.76</v>
      </c>
      <c r="P1643">
        <v>0.0</v>
      </c>
      <c r="Q1643">
        <v>300.0</v>
      </c>
      <c r="R1643"/>
      <c r="S1643"/>
      <c r="T1643"/>
      <c r="U1643"/>
      <c r="V1643"/>
      <c r="W1643">
        <v>18</v>
      </c>
    </row>
    <row r="1644" spans="1:23">
      <c r="A1644"/>
      <c r="B1644" t="s">
        <v>138</v>
      </c>
      <c r="C1644" t="s">
        <v>138</v>
      </c>
      <c r="D1644" t="s">
        <v>37</v>
      </c>
      <c r="E1644" t="s">
        <v>38</v>
      </c>
      <c r="F1644" t="str">
        <f>"0001721"</f>
        <v>0001721</v>
      </c>
      <c r="G1644">
        <v>1</v>
      </c>
      <c r="H1644" t="str">
        <f>"00000000"</f>
        <v>00000000</v>
      </c>
      <c r="I1644" t="s">
        <v>39</v>
      </c>
      <c r="J1644"/>
      <c r="K1644">
        <v>381.36</v>
      </c>
      <c r="L1644">
        <v>0.0</v>
      </c>
      <c r="M1644"/>
      <c r="N1644"/>
      <c r="O1644">
        <v>68.64</v>
      </c>
      <c r="P1644">
        <v>0.0</v>
      </c>
      <c r="Q1644">
        <v>450.0</v>
      </c>
      <c r="R1644"/>
      <c r="S1644"/>
      <c r="T1644"/>
      <c r="U1644"/>
      <c r="V1644"/>
      <c r="W1644">
        <v>18</v>
      </c>
    </row>
    <row r="1645" spans="1:23">
      <c r="A1645"/>
      <c r="B1645" t="s">
        <v>138</v>
      </c>
      <c r="C1645" t="s">
        <v>138</v>
      </c>
      <c r="D1645" t="s">
        <v>37</v>
      </c>
      <c r="E1645" t="s">
        <v>38</v>
      </c>
      <c r="F1645" t="str">
        <f>"0001722"</f>
        <v>0001722</v>
      </c>
      <c r="G1645">
        <v>1</v>
      </c>
      <c r="H1645" t="str">
        <f>"00000000"</f>
        <v>00000000</v>
      </c>
      <c r="I1645" t="s">
        <v>39</v>
      </c>
      <c r="J1645"/>
      <c r="K1645">
        <v>508.47</v>
      </c>
      <c r="L1645">
        <v>0.0</v>
      </c>
      <c r="M1645"/>
      <c r="N1645"/>
      <c r="O1645">
        <v>91.53</v>
      </c>
      <c r="P1645">
        <v>0.0</v>
      </c>
      <c r="Q1645">
        <v>600.0</v>
      </c>
      <c r="R1645"/>
      <c r="S1645"/>
      <c r="T1645"/>
      <c r="U1645"/>
      <c r="V1645"/>
      <c r="W1645">
        <v>18</v>
      </c>
    </row>
    <row r="1646" spans="1:23">
      <c r="A1646"/>
      <c r="B1646" t="s">
        <v>138</v>
      </c>
      <c r="C1646" t="s">
        <v>138</v>
      </c>
      <c r="D1646" t="s">
        <v>37</v>
      </c>
      <c r="E1646" t="s">
        <v>38</v>
      </c>
      <c r="F1646" t="str">
        <f>"0001723"</f>
        <v>0001723</v>
      </c>
      <c r="G1646">
        <v>1</v>
      </c>
      <c r="H1646" t="str">
        <f>"00000000"</f>
        <v>00000000</v>
      </c>
      <c r="I1646" t="s">
        <v>39</v>
      </c>
      <c r="J1646"/>
      <c r="K1646">
        <v>406.78</v>
      </c>
      <c r="L1646">
        <v>0.0</v>
      </c>
      <c r="M1646"/>
      <c r="N1646"/>
      <c r="O1646">
        <v>73.22</v>
      </c>
      <c r="P1646">
        <v>0.0</v>
      </c>
      <c r="Q1646">
        <v>480.0</v>
      </c>
      <c r="R1646"/>
      <c r="S1646"/>
      <c r="T1646"/>
      <c r="U1646"/>
      <c r="V1646"/>
      <c r="W1646">
        <v>18</v>
      </c>
    </row>
    <row r="1647" spans="1:23">
      <c r="A1647"/>
      <c r="B1647" t="s">
        <v>138</v>
      </c>
      <c r="C1647" t="s">
        <v>138</v>
      </c>
      <c r="D1647" t="s">
        <v>37</v>
      </c>
      <c r="E1647" t="s">
        <v>38</v>
      </c>
      <c r="F1647" t="str">
        <f>"0001724"</f>
        <v>0001724</v>
      </c>
      <c r="G1647">
        <v>1</v>
      </c>
      <c r="H1647" t="str">
        <f>"00000000"</f>
        <v>00000000</v>
      </c>
      <c r="I1647" t="s">
        <v>39</v>
      </c>
      <c r="J1647"/>
      <c r="K1647">
        <v>296.61</v>
      </c>
      <c r="L1647">
        <v>0.0</v>
      </c>
      <c r="M1647"/>
      <c r="N1647"/>
      <c r="O1647">
        <v>53.39</v>
      </c>
      <c r="P1647">
        <v>0.0</v>
      </c>
      <c r="Q1647">
        <v>350.0</v>
      </c>
      <c r="R1647"/>
      <c r="S1647"/>
      <c r="T1647"/>
      <c r="U1647"/>
      <c r="V1647"/>
      <c r="W1647">
        <v>18</v>
      </c>
    </row>
    <row r="1648" spans="1:23">
      <c r="A1648"/>
      <c r="B1648" t="s">
        <v>138</v>
      </c>
      <c r="C1648" t="s">
        <v>138</v>
      </c>
      <c r="D1648" t="s">
        <v>37</v>
      </c>
      <c r="E1648" t="s">
        <v>38</v>
      </c>
      <c r="F1648" t="str">
        <f>"0001725"</f>
        <v>0001725</v>
      </c>
      <c r="G1648">
        <v>1</v>
      </c>
      <c r="H1648" t="str">
        <f>"00000000"</f>
        <v>00000000</v>
      </c>
      <c r="I1648" t="s">
        <v>39</v>
      </c>
      <c r="J1648"/>
      <c r="K1648">
        <v>508.47</v>
      </c>
      <c r="L1648">
        <v>0.0</v>
      </c>
      <c r="M1648"/>
      <c r="N1648"/>
      <c r="O1648">
        <v>91.53</v>
      </c>
      <c r="P1648">
        <v>0.0</v>
      </c>
      <c r="Q1648">
        <v>600.0</v>
      </c>
      <c r="R1648"/>
      <c r="S1648"/>
      <c r="T1648"/>
      <c r="U1648"/>
      <c r="V1648"/>
      <c r="W1648">
        <v>18</v>
      </c>
    </row>
    <row r="1649" spans="1:23">
      <c r="A1649"/>
      <c r="B1649" t="s">
        <v>138</v>
      </c>
      <c r="C1649" t="s">
        <v>138</v>
      </c>
      <c r="D1649" t="s">
        <v>37</v>
      </c>
      <c r="E1649" t="s">
        <v>38</v>
      </c>
      <c r="F1649" t="str">
        <f>"0001726"</f>
        <v>0001726</v>
      </c>
      <c r="G1649">
        <v>1</v>
      </c>
      <c r="H1649" t="str">
        <f>"00000000"</f>
        <v>00000000</v>
      </c>
      <c r="I1649" t="s">
        <v>39</v>
      </c>
      <c r="J1649"/>
      <c r="K1649">
        <v>381.36</v>
      </c>
      <c r="L1649">
        <v>0.0</v>
      </c>
      <c r="M1649"/>
      <c r="N1649"/>
      <c r="O1649">
        <v>68.64</v>
      </c>
      <c r="P1649">
        <v>0.0</v>
      </c>
      <c r="Q1649">
        <v>450.0</v>
      </c>
      <c r="R1649"/>
      <c r="S1649"/>
      <c r="T1649"/>
      <c r="U1649"/>
      <c r="V1649"/>
      <c r="W1649">
        <v>18</v>
      </c>
    </row>
    <row r="1650" spans="1:23">
      <c r="A1650"/>
      <c r="B1650" t="s">
        <v>138</v>
      </c>
      <c r="C1650" t="s">
        <v>138</v>
      </c>
      <c r="D1650" t="s">
        <v>37</v>
      </c>
      <c r="E1650" t="s">
        <v>38</v>
      </c>
      <c r="F1650" t="str">
        <f>"0001727"</f>
        <v>0001727</v>
      </c>
      <c r="G1650">
        <v>1</v>
      </c>
      <c r="H1650" t="str">
        <f>"00000000"</f>
        <v>00000000</v>
      </c>
      <c r="I1650" t="s">
        <v>39</v>
      </c>
      <c r="J1650"/>
      <c r="K1650">
        <v>190.68</v>
      </c>
      <c r="L1650">
        <v>0.0</v>
      </c>
      <c r="M1650"/>
      <c r="N1650"/>
      <c r="O1650">
        <v>34.32</v>
      </c>
      <c r="P1650">
        <v>0.0</v>
      </c>
      <c r="Q1650">
        <v>225.0</v>
      </c>
      <c r="R1650"/>
      <c r="S1650"/>
      <c r="T1650"/>
      <c r="U1650"/>
      <c r="V1650"/>
      <c r="W1650">
        <v>18</v>
      </c>
    </row>
    <row r="1651" spans="1:23">
      <c r="A1651"/>
      <c r="B1651" t="s">
        <v>138</v>
      </c>
      <c r="C1651" t="s">
        <v>138</v>
      </c>
      <c r="D1651" t="s">
        <v>37</v>
      </c>
      <c r="E1651" t="s">
        <v>38</v>
      </c>
      <c r="F1651" t="str">
        <f>"0001728"</f>
        <v>0001728</v>
      </c>
      <c r="G1651">
        <v>1</v>
      </c>
      <c r="H1651" t="str">
        <f>"00000000"</f>
        <v>00000000</v>
      </c>
      <c r="I1651" t="s">
        <v>39</v>
      </c>
      <c r="J1651"/>
      <c r="K1651">
        <v>423.73</v>
      </c>
      <c r="L1651">
        <v>0.0</v>
      </c>
      <c r="M1651"/>
      <c r="N1651"/>
      <c r="O1651">
        <v>76.27</v>
      </c>
      <c r="P1651">
        <v>0.0</v>
      </c>
      <c r="Q1651">
        <v>500.0</v>
      </c>
      <c r="R1651"/>
      <c r="S1651"/>
      <c r="T1651"/>
      <c r="U1651"/>
      <c r="V1651"/>
      <c r="W1651">
        <v>18</v>
      </c>
    </row>
    <row r="1652" spans="1:23">
      <c r="A1652"/>
      <c r="B1652" t="s">
        <v>138</v>
      </c>
      <c r="C1652" t="s">
        <v>138</v>
      </c>
      <c r="D1652" t="s">
        <v>37</v>
      </c>
      <c r="E1652" t="s">
        <v>38</v>
      </c>
      <c r="F1652" t="str">
        <f>"0001729"</f>
        <v>0001729</v>
      </c>
      <c r="G1652">
        <v>1</v>
      </c>
      <c r="H1652" t="str">
        <f>"00000000"</f>
        <v>00000000</v>
      </c>
      <c r="I1652" t="s">
        <v>39</v>
      </c>
      <c r="J1652"/>
      <c r="K1652">
        <v>286.02</v>
      </c>
      <c r="L1652">
        <v>0.0</v>
      </c>
      <c r="M1652"/>
      <c r="N1652"/>
      <c r="O1652">
        <v>51.48</v>
      </c>
      <c r="P1652">
        <v>0.0</v>
      </c>
      <c r="Q1652">
        <v>337.5</v>
      </c>
      <c r="R1652"/>
      <c r="S1652"/>
      <c r="T1652"/>
      <c r="U1652"/>
      <c r="V1652"/>
      <c r="W1652">
        <v>18</v>
      </c>
    </row>
    <row r="1653" spans="1:23">
      <c r="A1653"/>
      <c r="B1653" t="s">
        <v>138</v>
      </c>
      <c r="C1653" t="s">
        <v>138</v>
      </c>
      <c r="D1653" t="s">
        <v>37</v>
      </c>
      <c r="E1653" t="s">
        <v>38</v>
      </c>
      <c r="F1653" t="str">
        <f>"0001730"</f>
        <v>0001730</v>
      </c>
      <c r="G1653">
        <v>1</v>
      </c>
      <c r="H1653" t="str">
        <f>"00000000"</f>
        <v>00000000</v>
      </c>
      <c r="I1653" t="s">
        <v>39</v>
      </c>
      <c r="J1653"/>
      <c r="K1653">
        <v>305.08</v>
      </c>
      <c r="L1653">
        <v>0.0</v>
      </c>
      <c r="M1653"/>
      <c r="N1653"/>
      <c r="O1653">
        <v>54.92</v>
      </c>
      <c r="P1653">
        <v>0.0</v>
      </c>
      <c r="Q1653">
        <v>360.0</v>
      </c>
      <c r="R1653"/>
      <c r="S1653"/>
      <c r="T1653"/>
      <c r="U1653"/>
      <c r="V1653"/>
      <c r="W1653">
        <v>18</v>
      </c>
    </row>
    <row r="1654" spans="1:23">
      <c r="A1654"/>
      <c r="B1654" t="s">
        <v>138</v>
      </c>
      <c r="C1654" t="s">
        <v>138</v>
      </c>
      <c r="D1654" t="s">
        <v>37</v>
      </c>
      <c r="E1654" t="s">
        <v>38</v>
      </c>
      <c r="F1654" t="str">
        <f>"0001731"</f>
        <v>0001731</v>
      </c>
      <c r="G1654">
        <v>1</v>
      </c>
      <c r="H1654" t="str">
        <f>"00000000"</f>
        <v>00000000</v>
      </c>
      <c r="I1654" t="s">
        <v>39</v>
      </c>
      <c r="J1654"/>
      <c r="K1654">
        <v>508.47</v>
      </c>
      <c r="L1654">
        <v>0.0</v>
      </c>
      <c r="M1654"/>
      <c r="N1654"/>
      <c r="O1654">
        <v>91.53</v>
      </c>
      <c r="P1654">
        <v>0.0</v>
      </c>
      <c r="Q1654">
        <v>600.0</v>
      </c>
      <c r="R1654"/>
      <c r="S1654"/>
      <c r="T1654"/>
      <c r="U1654"/>
      <c r="V1654"/>
      <c r="W1654">
        <v>18</v>
      </c>
    </row>
    <row r="1655" spans="1:23">
      <c r="A1655"/>
      <c r="B1655" t="s">
        <v>138</v>
      </c>
      <c r="C1655" t="s">
        <v>138</v>
      </c>
      <c r="D1655" t="s">
        <v>37</v>
      </c>
      <c r="E1655" t="s">
        <v>38</v>
      </c>
      <c r="F1655" t="str">
        <f>"0001732"</f>
        <v>0001732</v>
      </c>
      <c r="G1655">
        <v>1</v>
      </c>
      <c r="H1655" t="str">
        <f>"00000000"</f>
        <v>00000000</v>
      </c>
      <c r="I1655" t="s">
        <v>39</v>
      </c>
      <c r="J1655"/>
      <c r="K1655">
        <v>444.92</v>
      </c>
      <c r="L1655">
        <v>0.0</v>
      </c>
      <c r="M1655"/>
      <c r="N1655"/>
      <c r="O1655">
        <v>80.08</v>
      </c>
      <c r="P1655">
        <v>0.0</v>
      </c>
      <c r="Q1655">
        <v>525.0</v>
      </c>
      <c r="R1655"/>
      <c r="S1655"/>
      <c r="T1655"/>
      <c r="U1655"/>
      <c r="V1655"/>
      <c r="W1655">
        <v>18</v>
      </c>
    </row>
    <row r="1656" spans="1:23">
      <c r="A1656"/>
      <c r="B1656" t="s">
        <v>138</v>
      </c>
      <c r="C1656" t="s">
        <v>138</v>
      </c>
      <c r="D1656" t="s">
        <v>37</v>
      </c>
      <c r="E1656" t="s">
        <v>38</v>
      </c>
      <c r="F1656" t="str">
        <f>"0001733"</f>
        <v>0001733</v>
      </c>
      <c r="G1656">
        <v>1</v>
      </c>
      <c r="H1656" t="str">
        <f>"00000000"</f>
        <v>00000000</v>
      </c>
      <c r="I1656" t="s">
        <v>39</v>
      </c>
      <c r="J1656"/>
      <c r="K1656">
        <v>381.36</v>
      </c>
      <c r="L1656">
        <v>0.0</v>
      </c>
      <c r="M1656"/>
      <c r="N1656"/>
      <c r="O1656">
        <v>68.64</v>
      </c>
      <c r="P1656">
        <v>0.0</v>
      </c>
      <c r="Q1656">
        <v>450.0</v>
      </c>
      <c r="R1656"/>
      <c r="S1656"/>
      <c r="T1656"/>
      <c r="U1656"/>
      <c r="V1656"/>
      <c r="W1656">
        <v>18</v>
      </c>
    </row>
    <row r="1657" spans="1:23">
      <c r="A1657"/>
      <c r="B1657" t="s">
        <v>139</v>
      </c>
      <c r="C1657" t="s">
        <v>139</v>
      </c>
      <c r="D1657" t="s">
        <v>37</v>
      </c>
      <c r="E1657" t="s">
        <v>38</v>
      </c>
      <c r="F1657" t="str">
        <f>"0001734"</f>
        <v>0001734</v>
      </c>
      <c r="G1657">
        <v>1</v>
      </c>
      <c r="H1657" t="str">
        <f>"00000000"</f>
        <v>00000000</v>
      </c>
      <c r="I1657" t="s">
        <v>39</v>
      </c>
      <c r="J1657"/>
      <c r="K1657">
        <v>355.93</v>
      </c>
      <c r="L1657">
        <v>0.0</v>
      </c>
      <c r="M1657"/>
      <c r="N1657"/>
      <c r="O1657">
        <v>64.07</v>
      </c>
      <c r="P1657">
        <v>0.0</v>
      </c>
      <c r="Q1657">
        <v>420.0</v>
      </c>
      <c r="R1657"/>
      <c r="S1657"/>
      <c r="T1657"/>
      <c r="U1657"/>
      <c r="V1657"/>
      <c r="W1657">
        <v>18</v>
      </c>
    </row>
    <row r="1658" spans="1:23">
      <c r="A1658"/>
      <c r="B1658" t="s">
        <v>139</v>
      </c>
      <c r="C1658" t="s">
        <v>139</v>
      </c>
      <c r="D1658" t="s">
        <v>37</v>
      </c>
      <c r="E1658" t="s">
        <v>38</v>
      </c>
      <c r="F1658" t="str">
        <f>"0001735"</f>
        <v>0001735</v>
      </c>
      <c r="G1658">
        <v>1</v>
      </c>
      <c r="H1658" t="str">
        <f>"00000000"</f>
        <v>00000000</v>
      </c>
      <c r="I1658" t="s">
        <v>39</v>
      </c>
      <c r="J1658"/>
      <c r="K1658">
        <v>406.78</v>
      </c>
      <c r="L1658">
        <v>0.0</v>
      </c>
      <c r="M1658"/>
      <c r="N1658"/>
      <c r="O1658">
        <v>73.22</v>
      </c>
      <c r="P1658">
        <v>0.0</v>
      </c>
      <c r="Q1658">
        <v>480.0</v>
      </c>
      <c r="R1658"/>
      <c r="S1658"/>
      <c r="T1658"/>
      <c r="U1658"/>
      <c r="V1658"/>
      <c r="W1658">
        <v>18</v>
      </c>
    </row>
    <row r="1659" spans="1:23">
      <c r="A1659"/>
      <c r="B1659" t="s">
        <v>139</v>
      </c>
      <c r="C1659" t="s">
        <v>139</v>
      </c>
      <c r="D1659" t="s">
        <v>37</v>
      </c>
      <c r="E1659" t="s">
        <v>38</v>
      </c>
      <c r="F1659" t="str">
        <f>"0001736"</f>
        <v>0001736</v>
      </c>
      <c r="G1659">
        <v>1</v>
      </c>
      <c r="H1659" t="str">
        <f>"00000000"</f>
        <v>00000000</v>
      </c>
      <c r="I1659" t="s">
        <v>39</v>
      </c>
      <c r="J1659"/>
      <c r="K1659">
        <v>254.24</v>
      </c>
      <c r="L1659">
        <v>0.0</v>
      </c>
      <c r="M1659"/>
      <c r="N1659"/>
      <c r="O1659">
        <v>45.76</v>
      </c>
      <c r="P1659">
        <v>0.0</v>
      </c>
      <c r="Q1659">
        <v>300.0</v>
      </c>
      <c r="R1659"/>
      <c r="S1659"/>
      <c r="T1659"/>
      <c r="U1659"/>
      <c r="V1659"/>
      <c r="W1659">
        <v>18</v>
      </c>
    </row>
    <row r="1660" spans="1:23">
      <c r="A1660"/>
      <c r="B1660" t="s">
        <v>139</v>
      </c>
      <c r="C1660" t="s">
        <v>139</v>
      </c>
      <c r="D1660" t="s">
        <v>37</v>
      </c>
      <c r="E1660" t="s">
        <v>38</v>
      </c>
      <c r="F1660" t="str">
        <f>"0001737"</f>
        <v>0001737</v>
      </c>
      <c r="G1660">
        <v>1</v>
      </c>
      <c r="H1660" t="str">
        <f>"00000000"</f>
        <v>00000000</v>
      </c>
      <c r="I1660" t="s">
        <v>39</v>
      </c>
      <c r="J1660"/>
      <c r="K1660">
        <v>381.36</v>
      </c>
      <c r="L1660">
        <v>0.0</v>
      </c>
      <c r="M1660"/>
      <c r="N1660"/>
      <c r="O1660">
        <v>68.64</v>
      </c>
      <c r="P1660">
        <v>0.0</v>
      </c>
      <c r="Q1660">
        <v>450.0</v>
      </c>
      <c r="R1660"/>
      <c r="S1660"/>
      <c r="T1660"/>
      <c r="U1660"/>
      <c r="V1660"/>
      <c r="W1660">
        <v>18</v>
      </c>
    </row>
    <row r="1661" spans="1:23">
      <c r="A1661"/>
      <c r="B1661" t="s">
        <v>139</v>
      </c>
      <c r="C1661" t="s">
        <v>139</v>
      </c>
      <c r="D1661" t="s">
        <v>37</v>
      </c>
      <c r="E1661" t="s">
        <v>38</v>
      </c>
      <c r="F1661" t="str">
        <f>"0001738"</f>
        <v>0001738</v>
      </c>
      <c r="G1661">
        <v>1</v>
      </c>
      <c r="H1661" t="str">
        <f>"00000000"</f>
        <v>00000000</v>
      </c>
      <c r="I1661" t="s">
        <v>39</v>
      </c>
      <c r="J1661"/>
      <c r="K1661">
        <v>355.93</v>
      </c>
      <c r="L1661">
        <v>0.0</v>
      </c>
      <c r="M1661"/>
      <c r="N1661"/>
      <c r="O1661">
        <v>64.07</v>
      </c>
      <c r="P1661">
        <v>0.0</v>
      </c>
      <c r="Q1661">
        <v>420.0</v>
      </c>
      <c r="R1661"/>
      <c r="S1661"/>
      <c r="T1661"/>
      <c r="U1661"/>
      <c r="V1661"/>
      <c r="W1661">
        <v>18</v>
      </c>
    </row>
    <row r="1662" spans="1:23">
      <c r="A1662"/>
      <c r="B1662" t="s">
        <v>139</v>
      </c>
      <c r="C1662" t="s">
        <v>139</v>
      </c>
      <c r="D1662" t="s">
        <v>37</v>
      </c>
      <c r="E1662" t="s">
        <v>38</v>
      </c>
      <c r="F1662" t="str">
        <f>"0001739"</f>
        <v>0001739</v>
      </c>
      <c r="G1662">
        <v>1</v>
      </c>
      <c r="H1662" t="str">
        <f>"00000000"</f>
        <v>00000000</v>
      </c>
      <c r="I1662" t="s">
        <v>39</v>
      </c>
      <c r="J1662"/>
      <c r="K1662">
        <v>305.08</v>
      </c>
      <c r="L1662">
        <v>0.0</v>
      </c>
      <c r="M1662"/>
      <c r="N1662"/>
      <c r="O1662">
        <v>54.92</v>
      </c>
      <c r="P1662">
        <v>0.0</v>
      </c>
      <c r="Q1662">
        <v>360.0</v>
      </c>
      <c r="R1662"/>
      <c r="S1662"/>
      <c r="T1662"/>
      <c r="U1662"/>
      <c r="V1662"/>
      <c r="W1662">
        <v>18</v>
      </c>
    </row>
    <row r="1663" spans="1:23">
      <c r="A1663"/>
      <c r="B1663" t="s">
        <v>139</v>
      </c>
      <c r="C1663" t="s">
        <v>139</v>
      </c>
      <c r="D1663" t="s">
        <v>37</v>
      </c>
      <c r="E1663" t="s">
        <v>38</v>
      </c>
      <c r="F1663" t="str">
        <f>"0001740"</f>
        <v>0001740</v>
      </c>
      <c r="G1663">
        <v>1</v>
      </c>
      <c r="H1663" t="str">
        <f>"00000000"</f>
        <v>00000000</v>
      </c>
      <c r="I1663" t="s">
        <v>39</v>
      </c>
      <c r="J1663"/>
      <c r="K1663">
        <v>366.1</v>
      </c>
      <c r="L1663">
        <v>0.0</v>
      </c>
      <c r="M1663"/>
      <c r="N1663"/>
      <c r="O1663">
        <v>65.9</v>
      </c>
      <c r="P1663">
        <v>0.0</v>
      </c>
      <c r="Q1663">
        <v>432.0</v>
      </c>
      <c r="R1663"/>
      <c r="S1663"/>
      <c r="T1663"/>
      <c r="U1663"/>
      <c r="V1663"/>
      <c r="W1663">
        <v>18</v>
      </c>
    </row>
    <row r="1664" spans="1:23">
      <c r="A1664"/>
      <c r="B1664" t="s">
        <v>139</v>
      </c>
      <c r="C1664" t="s">
        <v>139</v>
      </c>
      <c r="D1664" t="s">
        <v>37</v>
      </c>
      <c r="E1664" t="s">
        <v>38</v>
      </c>
      <c r="F1664" t="str">
        <f>"0001741"</f>
        <v>0001741</v>
      </c>
      <c r="G1664">
        <v>1</v>
      </c>
      <c r="H1664" t="str">
        <f>"00000000"</f>
        <v>00000000</v>
      </c>
      <c r="I1664" t="s">
        <v>39</v>
      </c>
      <c r="J1664"/>
      <c r="K1664">
        <v>372.88</v>
      </c>
      <c r="L1664">
        <v>0.0</v>
      </c>
      <c r="M1664"/>
      <c r="N1664"/>
      <c r="O1664">
        <v>67.12</v>
      </c>
      <c r="P1664">
        <v>0.0</v>
      </c>
      <c r="Q1664">
        <v>440.0</v>
      </c>
      <c r="R1664"/>
      <c r="S1664"/>
      <c r="T1664"/>
      <c r="U1664"/>
      <c r="V1664"/>
      <c r="W1664">
        <v>18</v>
      </c>
    </row>
    <row r="1665" spans="1:23">
      <c r="A1665"/>
      <c r="B1665" t="s">
        <v>139</v>
      </c>
      <c r="C1665" t="s">
        <v>139</v>
      </c>
      <c r="D1665" t="s">
        <v>37</v>
      </c>
      <c r="E1665" t="s">
        <v>38</v>
      </c>
      <c r="F1665" t="str">
        <f>"0001742"</f>
        <v>0001742</v>
      </c>
      <c r="G1665">
        <v>1</v>
      </c>
      <c r="H1665" t="str">
        <f>"00000000"</f>
        <v>00000000</v>
      </c>
      <c r="I1665" t="s">
        <v>39</v>
      </c>
      <c r="J1665"/>
      <c r="K1665">
        <v>372.88</v>
      </c>
      <c r="L1665">
        <v>0.0</v>
      </c>
      <c r="M1665"/>
      <c r="N1665"/>
      <c r="O1665">
        <v>67.12</v>
      </c>
      <c r="P1665">
        <v>0.0</v>
      </c>
      <c r="Q1665">
        <v>440.0</v>
      </c>
      <c r="R1665"/>
      <c r="S1665"/>
      <c r="T1665"/>
      <c r="U1665"/>
      <c r="V1665"/>
      <c r="W1665">
        <v>18</v>
      </c>
    </row>
    <row r="1666" spans="1:23">
      <c r="A1666"/>
      <c r="B1666" t="s">
        <v>139</v>
      </c>
      <c r="C1666" t="s">
        <v>139</v>
      </c>
      <c r="D1666" t="s">
        <v>37</v>
      </c>
      <c r="E1666" t="s">
        <v>38</v>
      </c>
      <c r="F1666" t="str">
        <f>"0001743"</f>
        <v>0001743</v>
      </c>
      <c r="G1666">
        <v>1</v>
      </c>
      <c r="H1666" t="str">
        <f>"00000000"</f>
        <v>00000000</v>
      </c>
      <c r="I1666" t="s">
        <v>39</v>
      </c>
      <c r="J1666"/>
      <c r="K1666">
        <v>305.08</v>
      </c>
      <c r="L1666">
        <v>0.0</v>
      </c>
      <c r="M1666"/>
      <c r="N1666"/>
      <c r="O1666">
        <v>54.92</v>
      </c>
      <c r="P1666">
        <v>0.0</v>
      </c>
      <c r="Q1666">
        <v>360.0</v>
      </c>
      <c r="R1666"/>
      <c r="S1666"/>
      <c r="T1666"/>
      <c r="U1666"/>
      <c r="V1666"/>
      <c r="W1666">
        <v>18</v>
      </c>
    </row>
    <row r="1667" spans="1:23">
      <c r="A1667"/>
      <c r="B1667" t="s">
        <v>139</v>
      </c>
      <c r="C1667" t="s">
        <v>139</v>
      </c>
      <c r="D1667" t="s">
        <v>37</v>
      </c>
      <c r="E1667" t="s">
        <v>38</v>
      </c>
      <c r="F1667" t="str">
        <f>"0001744"</f>
        <v>0001744</v>
      </c>
      <c r="G1667">
        <v>1</v>
      </c>
      <c r="H1667" t="str">
        <f>"00000000"</f>
        <v>00000000</v>
      </c>
      <c r="I1667" t="s">
        <v>39</v>
      </c>
      <c r="J1667"/>
      <c r="K1667">
        <v>406.78</v>
      </c>
      <c r="L1667">
        <v>0.0</v>
      </c>
      <c r="M1667"/>
      <c r="N1667"/>
      <c r="O1667">
        <v>73.22</v>
      </c>
      <c r="P1667">
        <v>0.0</v>
      </c>
      <c r="Q1667">
        <v>480.0</v>
      </c>
      <c r="R1667"/>
      <c r="S1667"/>
      <c r="T1667"/>
      <c r="U1667"/>
      <c r="V1667"/>
      <c r="W1667">
        <v>18</v>
      </c>
    </row>
    <row r="1668" spans="1:23">
      <c r="A1668"/>
      <c r="B1668" t="s">
        <v>139</v>
      </c>
      <c r="C1668" t="s">
        <v>139</v>
      </c>
      <c r="D1668" t="s">
        <v>37</v>
      </c>
      <c r="E1668" t="s">
        <v>38</v>
      </c>
      <c r="F1668" t="str">
        <f>"0001745"</f>
        <v>0001745</v>
      </c>
      <c r="G1668">
        <v>1</v>
      </c>
      <c r="H1668" t="str">
        <f>"00000000"</f>
        <v>00000000</v>
      </c>
      <c r="I1668" t="s">
        <v>39</v>
      </c>
      <c r="J1668"/>
      <c r="K1668">
        <v>457.63</v>
      </c>
      <c r="L1668">
        <v>0.0</v>
      </c>
      <c r="M1668"/>
      <c r="N1668"/>
      <c r="O1668">
        <v>82.37</v>
      </c>
      <c r="P1668">
        <v>0.0</v>
      </c>
      <c r="Q1668">
        <v>540.0</v>
      </c>
      <c r="R1668"/>
      <c r="S1668"/>
      <c r="T1668"/>
      <c r="U1668"/>
      <c r="V1668"/>
      <c r="W1668">
        <v>18</v>
      </c>
    </row>
    <row r="1669" spans="1:23">
      <c r="A1669"/>
      <c r="B1669" t="s">
        <v>139</v>
      </c>
      <c r="C1669" t="s">
        <v>139</v>
      </c>
      <c r="D1669" t="s">
        <v>37</v>
      </c>
      <c r="E1669" t="s">
        <v>38</v>
      </c>
      <c r="F1669" t="str">
        <f>"0001746"</f>
        <v>0001746</v>
      </c>
      <c r="G1669">
        <v>1</v>
      </c>
      <c r="H1669" t="str">
        <f>"00000000"</f>
        <v>00000000</v>
      </c>
      <c r="I1669" t="s">
        <v>39</v>
      </c>
      <c r="J1669"/>
      <c r="K1669">
        <v>305.08</v>
      </c>
      <c r="L1669">
        <v>0.0</v>
      </c>
      <c r="M1669"/>
      <c r="N1669"/>
      <c r="O1669">
        <v>54.92</v>
      </c>
      <c r="P1669">
        <v>0.0</v>
      </c>
      <c r="Q1669">
        <v>360.0</v>
      </c>
      <c r="R1669"/>
      <c r="S1669"/>
      <c r="T1669"/>
      <c r="U1669"/>
      <c r="V1669"/>
      <c r="W1669">
        <v>18</v>
      </c>
    </row>
    <row r="1670" spans="1:23">
      <c r="A1670"/>
      <c r="B1670" t="s">
        <v>139</v>
      </c>
      <c r="C1670" t="s">
        <v>139</v>
      </c>
      <c r="D1670" t="s">
        <v>37</v>
      </c>
      <c r="E1670" t="s">
        <v>38</v>
      </c>
      <c r="F1670" t="str">
        <f>"0001747"</f>
        <v>0001747</v>
      </c>
      <c r="G1670">
        <v>1</v>
      </c>
      <c r="H1670" t="str">
        <f>"00000000"</f>
        <v>00000000</v>
      </c>
      <c r="I1670" t="s">
        <v>39</v>
      </c>
      <c r="J1670"/>
      <c r="K1670">
        <v>419.49</v>
      </c>
      <c r="L1670">
        <v>0.0</v>
      </c>
      <c r="M1670"/>
      <c r="N1670"/>
      <c r="O1670">
        <v>75.51</v>
      </c>
      <c r="P1670">
        <v>0.0</v>
      </c>
      <c r="Q1670">
        <v>495.0</v>
      </c>
      <c r="R1670"/>
      <c r="S1670"/>
      <c r="T1670"/>
      <c r="U1670"/>
      <c r="V1670"/>
      <c r="W1670">
        <v>18</v>
      </c>
    </row>
    <row r="1671" spans="1:23">
      <c r="A1671"/>
      <c r="B1671" t="s">
        <v>139</v>
      </c>
      <c r="C1671" t="s">
        <v>139</v>
      </c>
      <c r="D1671" t="s">
        <v>37</v>
      </c>
      <c r="E1671" t="s">
        <v>38</v>
      </c>
      <c r="F1671" t="str">
        <f>"0001748"</f>
        <v>0001748</v>
      </c>
      <c r="G1671">
        <v>1</v>
      </c>
      <c r="H1671" t="str">
        <f>"00000000"</f>
        <v>00000000</v>
      </c>
      <c r="I1671" t="s">
        <v>39</v>
      </c>
      <c r="J1671"/>
      <c r="K1671">
        <v>355.93</v>
      </c>
      <c r="L1671">
        <v>0.0</v>
      </c>
      <c r="M1671"/>
      <c r="N1671"/>
      <c r="O1671">
        <v>64.07</v>
      </c>
      <c r="P1671">
        <v>0.0</v>
      </c>
      <c r="Q1671">
        <v>420.0</v>
      </c>
      <c r="R1671"/>
      <c r="S1671"/>
      <c r="T1671"/>
      <c r="U1671"/>
      <c r="V1671"/>
      <c r="W1671">
        <v>18</v>
      </c>
    </row>
    <row r="1672" spans="1:23">
      <c r="A1672"/>
      <c r="B1672" t="s">
        <v>139</v>
      </c>
      <c r="C1672" t="s">
        <v>139</v>
      </c>
      <c r="D1672" t="s">
        <v>37</v>
      </c>
      <c r="E1672" t="s">
        <v>38</v>
      </c>
      <c r="F1672" t="str">
        <f>"0001749"</f>
        <v>0001749</v>
      </c>
      <c r="G1672">
        <v>1</v>
      </c>
      <c r="H1672" t="str">
        <f>"00000000"</f>
        <v>00000000</v>
      </c>
      <c r="I1672" t="s">
        <v>39</v>
      </c>
      <c r="J1672"/>
      <c r="K1672">
        <v>317.8</v>
      </c>
      <c r="L1672">
        <v>0.0</v>
      </c>
      <c r="M1672"/>
      <c r="N1672"/>
      <c r="O1672">
        <v>57.2</v>
      </c>
      <c r="P1672">
        <v>0.0</v>
      </c>
      <c r="Q1672">
        <v>375.0</v>
      </c>
      <c r="R1672"/>
      <c r="S1672"/>
      <c r="T1672"/>
      <c r="U1672"/>
      <c r="V1672"/>
      <c r="W1672">
        <v>18</v>
      </c>
    </row>
    <row r="1673" spans="1:23">
      <c r="A1673"/>
      <c r="B1673" t="s">
        <v>139</v>
      </c>
      <c r="C1673" t="s">
        <v>139</v>
      </c>
      <c r="D1673" t="s">
        <v>37</v>
      </c>
      <c r="E1673" t="s">
        <v>38</v>
      </c>
      <c r="F1673" t="str">
        <f>"0001750"</f>
        <v>0001750</v>
      </c>
      <c r="G1673">
        <v>1</v>
      </c>
      <c r="H1673" t="str">
        <f>"00000000"</f>
        <v>00000000</v>
      </c>
      <c r="I1673" t="s">
        <v>39</v>
      </c>
      <c r="J1673"/>
      <c r="K1673">
        <v>457.63</v>
      </c>
      <c r="L1673">
        <v>0.0</v>
      </c>
      <c r="M1673"/>
      <c r="N1673"/>
      <c r="O1673">
        <v>82.37</v>
      </c>
      <c r="P1673">
        <v>0.0</v>
      </c>
      <c r="Q1673">
        <v>540.0</v>
      </c>
      <c r="R1673"/>
      <c r="S1673"/>
      <c r="T1673"/>
      <c r="U1673"/>
      <c r="V1673"/>
      <c r="W1673">
        <v>18</v>
      </c>
    </row>
    <row r="1674" spans="1:23">
      <c r="A1674"/>
      <c r="B1674" t="s">
        <v>139</v>
      </c>
      <c r="C1674" t="s">
        <v>139</v>
      </c>
      <c r="D1674" t="s">
        <v>37</v>
      </c>
      <c r="E1674" t="s">
        <v>38</v>
      </c>
      <c r="F1674" t="str">
        <f>"0001751"</f>
        <v>0001751</v>
      </c>
      <c r="G1674">
        <v>1</v>
      </c>
      <c r="H1674" t="str">
        <f>"00000000"</f>
        <v>00000000</v>
      </c>
      <c r="I1674" t="s">
        <v>39</v>
      </c>
      <c r="J1674"/>
      <c r="K1674">
        <v>118.64</v>
      </c>
      <c r="L1674">
        <v>0.0</v>
      </c>
      <c r="M1674"/>
      <c r="N1674"/>
      <c r="O1674">
        <v>21.36</v>
      </c>
      <c r="P1674">
        <v>0.0</v>
      </c>
      <c r="Q1674">
        <v>140.0</v>
      </c>
      <c r="R1674"/>
      <c r="S1674"/>
      <c r="T1674"/>
      <c r="U1674"/>
      <c r="V1674"/>
      <c r="W1674">
        <v>18</v>
      </c>
    </row>
    <row r="1675" spans="1:23">
      <c r="A1675"/>
      <c r="B1675" t="s">
        <v>139</v>
      </c>
      <c r="C1675" t="s">
        <v>139</v>
      </c>
      <c r="D1675" t="s">
        <v>37</v>
      </c>
      <c r="E1675" t="s">
        <v>38</v>
      </c>
      <c r="F1675" t="str">
        <f>"0001752"</f>
        <v>0001752</v>
      </c>
      <c r="G1675">
        <v>1</v>
      </c>
      <c r="H1675" t="str">
        <f>"00000000"</f>
        <v>00000000</v>
      </c>
      <c r="I1675" t="s">
        <v>39</v>
      </c>
      <c r="J1675"/>
      <c r="K1675">
        <v>444.92</v>
      </c>
      <c r="L1675">
        <v>0.0</v>
      </c>
      <c r="M1675"/>
      <c r="N1675"/>
      <c r="O1675">
        <v>80.08</v>
      </c>
      <c r="P1675">
        <v>0.0</v>
      </c>
      <c r="Q1675">
        <v>525.0</v>
      </c>
      <c r="R1675"/>
      <c r="S1675"/>
      <c r="T1675"/>
      <c r="U1675"/>
      <c r="V1675"/>
      <c r="W1675">
        <v>18</v>
      </c>
    </row>
    <row r="1676" spans="1:23">
      <c r="A1676"/>
      <c r="B1676" t="s">
        <v>139</v>
      </c>
      <c r="C1676" t="s">
        <v>139</v>
      </c>
      <c r="D1676" t="s">
        <v>37</v>
      </c>
      <c r="E1676" t="s">
        <v>38</v>
      </c>
      <c r="F1676" t="str">
        <f>"0001753"</f>
        <v>0001753</v>
      </c>
      <c r="G1676">
        <v>1</v>
      </c>
      <c r="H1676" t="str">
        <f>"00000000"</f>
        <v>00000000</v>
      </c>
      <c r="I1676" t="s">
        <v>39</v>
      </c>
      <c r="J1676"/>
      <c r="K1676">
        <v>343.22</v>
      </c>
      <c r="L1676">
        <v>0.0</v>
      </c>
      <c r="M1676"/>
      <c r="N1676"/>
      <c r="O1676">
        <v>61.78</v>
      </c>
      <c r="P1676">
        <v>0.0</v>
      </c>
      <c r="Q1676">
        <v>405.0</v>
      </c>
      <c r="R1676"/>
      <c r="S1676"/>
      <c r="T1676"/>
      <c r="U1676"/>
      <c r="V1676"/>
      <c r="W1676">
        <v>18</v>
      </c>
    </row>
    <row r="1677" spans="1:23">
      <c r="A1677"/>
      <c r="B1677" t="s">
        <v>139</v>
      </c>
      <c r="C1677" t="s">
        <v>139</v>
      </c>
      <c r="D1677" t="s">
        <v>37</v>
      </c>
      <c r="E1677" t="s">
        <v>38</v>
      </c>
      <c r="F1677" t="str">
        <f>"0001754"</f>
        <v>0001754</v>
      </c>
      <c r="G1677">
        <v>1</v>
      </c>
      <c r="H1677" t="str">
        <f>"00000000"</f>
        <v>00000000</v>
      </c>
      <c r="I1677" t="s">
        <v>39</v>
      </c>
      <c r="J1677"/>
      <c r="K1677">
        <v>338.98</v>
      </c>
      <c r="L1677">
        <v>0.0</v>
      </c>
      <c r="M1677"/>
      <c r="N1677"/>
      <c r="O1677">
        <v>61.02</v>
      </c>
      <c r="P1677">
        <v>0.0</v>
      </c>
      <c r="Q1677">
        <v>400.0</v>
      </c>
      <c r="R1677"/>
      <c r="S1677"/>
      <c r="T1677"/>
      <c r="U1677"/>
      <c r="V1677"/>
      <c r="W1677">
        <v>18</v>
      </c>
    </row>
    <row r="1678" spans="1:23">
      <c r="A1678"/>
      <c r="B1678" t="s">
        <v>139</v>
      </c>
      <c r="C1678" t="s">
        <v>139</v>
      </c>
      <c r="D1678" t="s">
        <v>37</v>
      </c>
      <c r="E1678" t="s">
        <v>38</v>
      </c>
      <c r="F1678" t="str">
        <f>"0001755"</f>
        <v>0001755</v>
      </c>
      <c r="G1678">
        <v>1</v>
      </c>
      <c r="H1678" t="str">
        <f>"00000000"</f>
        <v>00000000</v>
      </c>
      <c r="I1678" t="s">
        <v>39</v>
      </c>
      <c r="J1678"/>
      <c r="K1678">
        <v>372.88</v>
      </c>
      <c r="L1678">
        <v>0.0</v>
      </c>
      <c r="M1678"/>
      <c r="N1678"/>
      <c r="O1678">
        <v>67.12</v>
      </c>
      <c r="P1678">
        <v>0.0</v>
      </c>
      <c r="Q1678">
        <v>440.0</v>
      </c>
      <c r="R1678"/>
      <c r="S1678"/>
      <c r="T1678"/>
      <c r="U1678"/>
      <c r="V1678"/>
      <c r="W1678">
        <v>18</v>
      </c>
    </row>
    <row r="1679" spans="1:23">
      <c r="A1679"/>
      <c r="B1679" t="s">
        <v>139</v>
      </c>
      <c r="C1679" t="s">
        <v>139</v>
      </c>
      <c r="D1679" t="s">
        <v>37</v>
      </c>
      <c r="E1679" t="s">
        <v>38</v>
      </c>
      <c r="F1679" t="str">
        <f>"0001756"</f>
        <v>0001756</v>
      </c>
      <c r="G1679">
        <v>1</v>
      </c>
      <c r="H1679" t="str">
        <f>"00000000"</f>
        <v>00000000</v>
      </c>
      <c r="I1679" t="s">
        <v>39</v>
      </c>
      <c r="J1679"/>
      <c r="K1679">
        <v>372.88</v>
      </c>
      <c r="L1679">
        <v>0.0</v>
      </c>
      <c r="M1679"/>
      <c r="N1679"/>
      <c r="O1679">
        <v>67.12</v>
      </c>
      <c r="P1679">
        <v>0.0</v>
      </c>
      <c r="Q1679">
        <v>440.0</v>
      </c>
      <c r="R1679"/>
      <c r="S1679"/>
      <c r="T1679"/>
      <c r="U1679"/>
      <c r="V1679"/>
      <c r="W1679">
        <v>18</v>
      </c>
    </row>
    <row r="1680" spans="1:23">
      <c r="A1680"/>
      <c r="B1680" t="s">
        <v>139</v>
      </c>
      <c r="C1680" t="s">
        <v>139</v>
      </c>
      <c r="D1680" t="s">
        <v>37</v>
      </c>
      <c r="E1680" t="s">
        <v>38</v>
      </c>
      <c r="F1680" t="str">
        <f>"0001757"</f>
        <v>0001757</v>
      </c>
      <c r="G1680">
        <v>1</v>
      </c>
      <c r="H1680" t="str">
        <f>"00000000"</f>
        <v>00000000</v>
      </c>
      <c r="I1680" t="s">
        <v>39</v>
      </c>
      <c r="J1680"/>
      <c r="K1680">
        <v>406.78</v>
      </c>
      <c r="L1680">
        <v>0.0</v>
      </c>
      <c r="M1680"/>
      <c r="N1680"/>
      <c r="O1680">
        <v>73.22</v>
      </c>
      <c r="P1680">
        <v>0.0</v>
      </c>
      <c r="Q1680">
        <v>480.0</v>
      </c>
      <c r="R1680"/>
      <c r="S1680"/>
      <c r="T1680"/>
      <c r="U1680"/>
      <c r="V1680"/>
      <c r="W1680">
        <v>18</v>
      </c>
    </row>
    <row r="1681" spans="1:23">
      <c r="A1681"/>
      <c r="B1681" t="s">
        <v>139</v>
      </c>
      <c r="C1681" t="s">
        <v>139</v>
      </c>
      <c r="D1681" t="s">
        <v>37</v>
      </c>
      <c r="E1681" t="s">
        <v>38</v>
      </c>
      <c r="F1681" t="str">
        <f>"0001758"</f>
        <v>0001758</v>
      </c>
      <c r="G1681">
        <v>1</v>
      </c>
      <c r="H1681" t="str">
        <f>"00000000"</f>
        <v>00000000</v>
      </c>
      <c r="I1681" t="s">
        <v>39</v>
      </c>
      <c r="J1681"/>
      <c r="K1681">
        <v>355.93</v>
      </c>
      <c r="L1681">
        <v>0.0</v>
      </c>
      <c r="M1681"/>
      <c r="N1681"/>
      <c r="O1681">
        <v>64.07</v>
      </c>
      <c r="P1681">
        <v>0.0</v>
      </c>
      <c r="Q1681">
        <v>420.0</v>
      </c>
      <c r="R1681"/>
      <c r="S1681"/>
      <c r="T1681"/>
      <c r="U1681"/>
      <c r="V1681"/>
      <c r="W1681">
        <v>18</v>
      </c>
    </row>
    <row r="1682" spans="1:23">
      <c r="A1682"/>
      <c r="B1682" t="s">
        <v>139</v>
      </c>
      <c r="C1682" t="s">
        <v>139</v>
      </c>
      <c r="D1682" t="s">
        <v>37</v>
      </c>
      <c r="E1682" t="s">
        <v>38</v>
      </c>
      <c r="F1682" t="str">
        <f>"0001759"</f>
        <v>0001759</v>
      </c>
      <c r="G1682">
        <v>1</v>
      </c>
      <c r="H1682" t="str">
        <f>"00000000"</f>
        <v>00000000</v>
      </c>
      <c r="I1682" t="s">
        <v>39</v>
      </c>
      <c r="J1682"/>
      <c r="K1682">
        <v>343.22</v>
      </c>
      <c r="L1682">
        <v>0.0</v>
      </c>
      <c r="M1682"/>
      <c r="N1682"/>
      <c r="O1682">
        <v>61.78</v>
      </c>
      <c r="P1682">
        <v>0.0</v>
      </c>
      <c r="Q1682">
        <v>405.0</v>
      </c>
      <c r="R1682"/>
      <c r="S1682"/>
      <c r="T1682"/>
      <c r="U1682"/>
      <c r="V1682"/>
      <c r="W1682">
        <v>18</v>
      </c>
    </row>
    <row r="1683" spans="1:23">
      <c r="A1683"/>
      <c r="B1683" t="s">
        <v>139</v>
      </c>
      <c r="C1683" t="s">
        <v>139</v>
      </c>
      <c r="D1683" t="s">
        <v>37</v>
      </c>
      <c r="E1683" t="s">
        <v>38</v>
      </c>
      <c r="F1683" t="str">
        <f>"0001760"</f>
        <v>0001760</v>
      </c>
      <c r="G1683">
        <v>1</v>
      </c>
      <c r="H1683" t="str">
        <f>"00000000"</f>
        <v>00000000</v>
      </c>
      <c r="I1683" t="s">
        <v>39</v>
      </c>
      <c r="J1683"/>
      <c r="K1683">
        <v>338.98</v>
      </c>
      <c r="L1683">
        <v>0.0</v>
      </c>
      <c r="M1683"/>
      <c r="N1683"/>
      <c r="O1683">
        <v>61.02</v>
      </c>
      <c r="P1683">
        <v>0.0</v>
      </c>
      <c r="Q1683">
        <v>400.0</v>
      </c>
      <c r="R1683"/>
      <c r="S1683"/>
      <c r="T1683"/>
      <c r="U1683"/>
      <c r="V1683"/>
      <c r="W1683">
        <v>18</v>
      </c>
    </row>
    <row r="1684" spans="1:23">
      <c r="A1684"/>
      <c r="B1684" t="s">
        <v>139</v>
      </c>
      <c r="C1684" t="s">
        <v>139</v>
      </c>
      <c r="D1684" t="s">
        <v>37</v>
      </c>
      <c r="E1684" t="s">
        <v>38</v>
      </c>
      <c r="F1684" t="str">
        <f>"0001761"</f>
        <v>0001761</v>
      </c>
      <c r="G1684">
        <v>1</v>
      </c>
      <c r="H1684" t="str">
        <f>"00000000"</f>
        <v>00000000</v>
      </c>
      <c r="I1684" t="s">
        <v>39</v>
      </c>
      <c r="J1684"/>
      <c r="K1684">
        <v>406.78</v>
      </c>
      <c r="L1684">
        <v>0.0</v>
      </c>
      <c r="M1684"/>
      <c r="N1684"/>
      <c r="O1684">
        <v>73.22</v>
      </c>
      <c r="P1684">
        <v>0.0</v>
      </c>
      <c r="Q1684">
        <v>480.0</v>
      </c>
      <c r="R1684"/>
      <c r="S1684"/>
      <c r="T1684"/>
      <c r="U1684"/>
      <c r="V1684"/>
      <c r="W1684">
        <v>18</v>
      </c>
    </row>
    <row r="1685" spans="1:23">
      <c r="A1685"/>
      <c r="B1685" t="s">
        <v>139</v>
      </c>
      <c r="C1685" t="s">
        <v>139</v>
      </c>
      <c r="D1685" t="s">
        <v>37</v>
      </c>
      <c r="E1685" t="s">
        <v>38</v>
      </c>
      <c r="F1685" t="str">
        <f>"0001762"</f>
        <v>0001762</v>
      </c>
      <c r="G1685">
        <v>1</v>
      </c>
      <c r="H1685" t="str">
        <f>"00000000"</f>
        <v>00000000</v>
      </c>
      <c r="I1685" t="s">
        <v>39</v>
      </c>
      <c r="J1685"/>
      <c r="K1685">
        <v>406.78</v>
      </c>
      <c r="L1685">
        <v>0.0</v>
      </c>
      <c r="M1685"/>
      <c r="N1685"/>
      <c r="O1685">
        <v>73.22</v>
      </c>
      <c r="P1685">
        <v>0.0</v>
      </c>
      <c r="Q1685">
        <v>480.0</v>
      </c>
      <c r="R1685"/>
      <c r="S1685"/>
      <c r="T1685"/>
      <c r="U1685"/>
      <c r="V1685"/>
      <c r="W1685">
        <v>18</v>
      </c>
    </row>
    <row r="1686" spans="1:23">
      <c r="A1686"/>
      <c r="B1686" t="s">
        <v>139</v>
      </c>
      <c r="C1686" t="s">
        <v>139</v>
      </c>
      <c r="D1686" t="s">
        <v>37</v>
      </c>
      <c r="E1686" t="s">
        <v>38</v>
      </c>
      <c r="F1686" t="str">
        <f>"0001763"</f>
        <v>0001763</v>
      </c>
      <c r="G1686">
        <v>1</v>
      </c>
      <c r="H1686" t="str">
        <f>"00000000"</f>
        <v>00000000</v>
      </c>
      <c r="I1686" t="s">
        <v>39</v>
      </c>
      <c r="J1686"/>
      <c r="K1686">
        <v>423.73</v>
      </c>
      <c r="L1686">
        <v>0.0</v>
      </c>
      <c r="M1686"/>
      <c r="N1686"/>
      <c r="O1686">
        <v>76.27</v>
      </c>
      <c r="P1686">
        <v>0.0</v>
      </c>
      <c r="Q1686">
        <v>500.0</v>
      </c>
      <c r="R1686"/>
      <c r="S1686"/>
      <c r="T1686"/>
      <c r="U1686"/>
      <c r="V1686"/>
      <c r="W1686">
        <v>18</v>
      </c>
    </row>
    <row r="1687" spans="1:23">
      <c r="A1687"/>
      <c r="B1687" t="s">
        <v>139</v>
      </c>
      <c r="C1687" t="s">
        <v>139</v>
      </c>
      <c r="D1687" t="s">
        <v>37</v>
      </c>
      <c r="E1687" t="s">
        <v>38</v>
      </c>
      <c r="F1687" t="str">
        <f>"0001764"</f>
        <v>0001764</v>
      </c>
      <c r="G1687">
        <v>1</v>
      </c>
      <c r="H1687" t="str">
        <f>"00000000"</f>
        <v>00000000</v>
      </c>
      <c r="I1687" t="s">
        <v>39</v>
      </c>
      <c r="J1687"/>
      <c r="K1687">
        <v>237.29</v>
      </c>
      <c r="L1687">
        <v>0.0</v>
      </c>
      <c r="M1687"/>
      <c r="N1687"/>
      <c r="O1687">
        <v>42.71</v>
      </c>
      <c r="P1687">
        <v>0.0</v>
      </c>
      <c r="Q1687">
        <v>280.0</v>
      </c>
      <c r="R1687"/>
      <c r="S1687"/>
      <c r="T1687"/>
      <c r="U1687"/>
      <c r="V1687"/>
      <c r="W1687">
        <v>18</v>
      </c>
    </row>
    <row r="1688" spans="1:23">
      <c r="A1688"/>
      <c r="B1688" t="s">
        <v>139</v>
      </c>
      <c r="C1688" t="s">
        <v>139</v>
      </c>
      <c r="D1688" t="s">
        <v>37</v>
      </c>
      <c r="E1688" t="s">
        <v>38</v>
      </c>
      <c r="F1688" t="str">
        <f>"0001765"</f>
        <v>0001765</v>
      </c>
      <c r="G1688">
        <v>1</v>
      </c>
      <c r="H1688" t="str">
        <f>"00000000"</f>
        <v>00000000</v>
      </c>
      <c r="I1688" t="s">
        <v>39</v>
      </c>
      <c r="J1688"/>
      <c r="K1688">
        <v>381.36</v>
      </c>
      <c r="L1688">
        <v>0.0</v>
      </c>
      <c r="M1688"/>
      <c r="N1688"/>
      <c r="O1688">
        <v>68.64</v>
      </c>
      <c r="P1688">
        <v>0.0</v>
      </c>
      <c r="Q1688">
        <v>450.0</v>
      </c>
      <c r="R1688"/>
      <c r="S1688"/>
      <c r="T1688"/>
      <c r="U1688"/>
      <c r="V1688"/>
      <c r="W1688">
        <v>18</v>
      </c>
    </row>
    <row r="1689" spans="1:23">
      <c r="A1689"/>
      <c r="B1689" t="s">
        <v>139</v>
      </c>
      <c r="C1689" t="s">
        <v>139</v>
      </c>
      <c r="D1689" t="s">
        <v>37</v>
      </c>
      <c r="E1689" t="s">
        <v>38</v>
      </c>
      <c r="F1689" t="str">
        <f>"0001766"</f>
        <v>0001766</v>
      </c>
      <c r="G1689">
        <v>1</v>
      </c>
      <c r="H1689" t="str">
        <f>"00000000"</f>
        <v>00000000</v>
      </c>
      <c r="I1689" t="s">
        <v>39</v>
      </c>
      <c r="J1689"/>
      <c r="K1689">
        <v>444.92</v>
      </c>
      <c r="L1689">
        <v>0.0</v>
      </c>
      <c r="M1689"/>
      <c r="N1689"/>
      <c r="O1689">
        <v>80.08</v>
      </c>
      <c r="P1689">
        <v>0.0</v>
      </c>
      <c r="Q1689">
        <v>525.0</v>
      </c>
      <c r="R1689"/>
      <c r="S1689"/>
      <c r="T1689"/>
      <c r="U1689"/>
      <c r="V1689"/>
      <c r="W1689">
        <v>18</v>
      </c>
    </row>
    <row r="1690" spans="1:23">
      <c r="A1690"/>
      <c r="B1690" t="s">
        <v>139</v>
      </c>
      <c r="C1690" t="s">
        <v>139</v>
      </c>
      <c r="D1690" t="s">
        <v>37</v>
      </c>
      <c r="E1690" t="s">
        <v>38</v>
      </c>
      <c r="F1690" t="str">
        <f>"0001767"</f>
        <v>0001767</v>
      </c>
      <c r="G1690">
        <v>1</v>
      </c>
      <c r="H1690" t="str">
        <f>"00000000"</f>
        <v>00000000</v>
      </c>
      <c r="I1690" t="s">
        <v>39</v>
      </c>
      <c r="J1690"/>
      <c r="K1690">
        <v>355.93</v>
      </c>
      <c r="L1690">
        <v>0.0</v>
      </c>
      <c r="M1690"/>
      <c r="N1690"/>
      <c r="O1690">
        <v>64.07</v>
      </c>
      <c r="P1690">
        <v>0.0</v>
      </c>
      <c r="Q1690">
        <v>420.0</v>
      </c>
      <c r="R1690"/>
      <c r="S1690"/>
      <c r="T1690"/>
      <c r="U1690"/>
      <c r="V1690"/>
      <c r="W1690">
        <v>18</v>
      </c>
    </row>
    <row r="1691" spans="1:23">
      <c r="A1691"/>
      <c r="B1691" t="s">
        <v>139</v>
      </c>
      <c r="C1691" t="s">
        <v>139</v>
      </c>
      <c r="D1691" t="s">
        <v>37</v>
      </c>
      <c r="E1691" t="s">
        <v>38</v>
      </c>
      <c r="F1691" t="str">
        <f>"0001768"</f>
        <v>0001768</v>
      </c>
      <c r="G1691">
        <v>1</v>
      </c>
      <c r="H1691" t="str">
        <f>"00000000"</f>
        <v>00000000</v>
      </c>
      <c r="I1691" t="s">
        <v>39</v>
      </c>
      <c r="J1691"/>
      <c r="K1691">
        <v>271.19</v>
      </c>
      <c r="L1691">
        <v>0.0</v>
      </c>
      <c r="M1691"/>
      <c r="N1691"/>
      <c r="O1691">
        <v>48.81</v>
      </c>
      <c r="P1691">
        <v>0.0</v>
      </c>
      <c r="Q1691">
        <v>320.0</v>
      </c>
      <c r="R1691"/>
      <c r="S1691"/>
      <c r="T1691"/>
      <c r="U1691"/>
      <c r="V1691"/>
      <c r="W1691">
        <v>18</v>
      </c>
    </row>
    <row r="1692" spans="1:23">
      <c r="A1692"/>
      <c r="B1692" t="s">
        <v>139</v>
      </c>
      <c r="C1692" t="s">
        <v>139</v>
      </c>
      <c r="D1692" t="s">
        <v>37</v>
      </c>
      <c r="E1692" t="s">
        <v>38</v>
      </c>
      <c r="F1692" t="str">
        <f>"0001769"</f>
        <v>0001769</v>
      </c>
      <c r="G1692">
        <v>1</v>
      </c>
      <c r="H1692" t="str">
        <f>"00000000"</f>
        <v>00000000</v>
      </c>
      <c r="I1692" t="s">
        <v>39</v>
      </c>
      <c r="J1692"/>
      <c r="K1692">
        <v>444.92</v>
      </c>
      <c r="L1692">
        <v>0.0</v>
      </c>
      <c r="M1692"/>
      <c r="N1692"/>
      <c r="O1692">
        <v>80.08</v>
      </c>
      <c r="P1692">
        <v>0.0</v>
      </c>
      <c r="Q1692">
        <v>525.0</v>
      </c>
      <c r="R1692"/>
      <c r="S1692"/>
      <c r="T1692"/>
      <c r="U1692"/>
      <c r="V1692"/>
      <c r="W1692">
        <v>18</v>
      </c>
    </row>
    <row r="1693" spans="1:23">
      <c r="A1693"/>
      <c r="B1693" t="s">
        <v>139</v>
      </c>
      <c r="C1693" t="s">
        <v>139</v>
      </c>
      <c r="D1693" t="s">
        <v>37</v>
      </c>
      <c r="E1693" t="s">
        <v>38</v>
      </c>
      <c r="F1693" t="str">
        <f>"0001770"</f>
        <v>0001770</v>
      </c>
      <c r="G1693">
        <v>1</v>
      </c>
      <c r="H1693" t="str">
        <f>"00000000"</f>
        <v>00000000</v>
      </c>
      <c r="I1693" t="s">
        <v>39</v>
      </c>
      <c r="J1693"/>
      <c r="K1693">
        <v>381.36</v>
      </c>
      <c r="L1693">
        <v>0.0</v>
      </c>
      <c r="M1693"/>
      <c r="N1693"/>
      <c r="O1693">
        <v>68.64</v>
      </c>
      <c r="P1693">
        <v>0.0</v>
      </c>
      <c r="Q1693">
        <v>450.0</v>
      </c>
      <c r="R1693"/>
      <c r="S1693"/>
      <c r="T1693"/>
      <c r="U1693"/>
      <c r="V1693"/>
      <c r="W1693">
        <v>18</v>
      </c>
    </row>
    <row r="1694" spans="1:23">
      <c r="A1694"/>
      <c r="B1694" t="s">
        <v>139</v>
      </c>
      <c r="C1694" t="s">
        <v>139</v>
      </c>
      <c r="D1694" t="s">
        <v>37</v>
      </c>
      <c r="E1694" t="s">
        <v>38</v>
      </c>
      <c r="F1694" t="str">
        <f>"0001771"</f>
        <v>0001771</v>
      </c>
      <c r="G1694">
        <v>1</v>
      </c>
      <c r="H1694" t="str">
        <f>"00000000"</f>
        <v>00000000</v>
      </c>
      <c r="I1694" t="s">
        <v>39</v>
      </c>
      <c r="J1694"/>
      <c r="K1694">
        <v>406.78</v>
      </c>
      <c r="L1694">
        <v>0.0</v>
      </c>
      <c r="M1694"/>
      <c r="N1694"/>
      <c r="O1694">
        <v>73.22</v>
      </c>
      <c r="P1694">
        <v>0.0</v>
      </c>
      <c r="Q1694">
        <v>480.0</v>
      </c>
      <c r="R1694"/>
      <c r="S1694"/>
      <c r="T1694"/>
      <c r="U1694"/>
      <c r="V1694"/>
      <c r="W1694">
        <v>18</v>
      </c>
    </row>
    <row r="1695" spans="1:23">
      <c r="A1695"/>
      <c r="B1695" t="s">
        <v>139</v>
      </c>
      <c r="C1695" t="s">
        <v>139</v>
      </c>
      <c r="D1695" t="s">
        <v>37</v>
      </c>
      <c r="E1695" t="s">
        <v>38</v>
      </c>
      <c r="F1695" t="str">
        <f>"0001772"</f>
        <v>0001772</v>
      </c>
      <c r="G1695">
        <v>1</v>
      </c>
      <c r="H1695" t="str">
        <f>"00000000"</f>
        <v>00000000</v>
      </c>
      <c r="I1695" t="s">
        <v>39</v>
      </c>
      <c r="J1695"/>
      <c r="K1695">
        <v>423.73</v>
      </c>
      <c r="L1695">
        <v>0.0</v>
      </c>
      <c r="M1695"/>
      <c r="N1695"/>
      <c r="O1695">
        <v>76.27</v>
      </c>
      <c r="P1695">
        <v>0.0</v>
      </c>
      <c r="Q1695">
        <v>500.0</v>
      </c>
      <c r="R1695"/>
      <c r="S1695"/>
      <c r="T1695"/>
      <c r="U1695"/>
      <c r="V1695"/>
      <c r="W1695">
        <v>18</v>
      </c>
    </row>
    <row r="1696" spans="1:23">
      <c r="A1696"/>
      <c r="B1696" t="s">
        <v>139</v>
      </c>
      <c r="C1696" t="s">
        <v>139</v>
      </c>
      <c r="D1696" t="s">
        <v>37</v>
      </c>
      <c r="E1696" t="s">
        <v>38</v>
      </c>
      <c r="F1696" t="str">
        <f>"0001773"</f>
        <v>0001773</v>
      </c>
      <c r="G1696">
        <v>1</v>
      </c>
      <c r="H1696" t="str">
        <f>"00000000"</f>
        <v>00000000</v>
      </c>
      <c r="I1696" t="s">
        <v>39</v>
      </c>
      <c r="J1696"/>
      <c r="K1696">
        <v>266.95</v>
      </c>
      <c r="L1696">
        <v>0.0</v>
      </c>
      <c r="M1696"/>
      <c r="N1696"/>
      <c r="O1696">
        <v>48.05</v>
      </c>
      <c r="P1696">
        <v>0.0</v>
      </c>
      <c r="Q1696">
        <v>315.0</v>
      </c>
      <c r="R1696"/>
      <c r="S1696"/>
      <c r="T1696"/>
      <c r="U1696"/>
      <c r="V1696"/>
      <c r="W1696">
        <v>18</v>
      </c>
    </row>
    <row r="1697" spans="1:23">
      <c r="A1697"/>
      <c r="B1697" t="s">
        <v>139</v>
      </c>
      <c r="C1697" t="s">
        <v>139</v>
      </c>
      <c r="D1697" t="s">
        <v>37</v>
      </c>
      <c r="E1697" t="s">
        <v>38</v>
      </c>
      <c r="F1697" t="str">
        <f>"0001774"</f>
        <v>0001774</v>
      </c>
      <c r="G1697">
        <v>1</v>
      </c>
      <c r="H1697" t="str">
        <f>"00000000"</f>
        <v>00000000</v>
      </c>
      <c r="I1697" t="s">
        <v>39</v>
      </c>
      <c r="J1697"/>
      <c r="K1697">
        <v>372.88</v>
      </c>
      <c r="L1697">
        <v>0.0</v>
      </c>
      <c r="M1697"/>
      <c r="N1697"/>
      <c r="O1697">
        <v>67.12</v>
      </c>
      <c r="P1697">
        <v>0.0</v>
      </c>
      <c r="Q1697">
        <v>440.0</v>
      </c>
      <c r="R1697"/>
      <c r="S1697"/>
      <c r="T1697"/>
      <c r="U1697"/>
      <c r="V1697"/>
      <c r="W1697">
        <v>18</v>
      </c>
    </row>
    <row r="1698" spans="1:23">
      <c r="A1698"/>
      <c r="B1698" t="s">
        <v>139</v>
      </c>
      <c r="C1698" t="s">
        <v>139</v>
      </c>
      <c r="D1698" t="s">
        <v>37</v>
      </c>
      <c r="E1698" t="s">
        <v>38</v>
      </c>
      <c r="F1698" t="str">
        <f>"0001775"</f>
        <v>0001775</v>
      </c>
      <c r="G1698">
        <v>1</v>
      </c>
      <c r="H1698" t="str">
        <f>"00000000"</f>
        <v>00000000</v>
      </c>
      <c r="I1698" t="s">
        <v>39</v>
      </c>
      <c r="J1698"/>
      <c r="K1698">
        <v>305.08</v>
      </c>
      <c r="L1698">
        <v>0.0</v>
      </c>
      <c r="M1698"/>
      <c r="N1698"/>
      <c r="O1698">
        <v>54.92</v>
      </c>
      <c r="P1698">
        <v>0.0</v>
      </c>
      <c r="Q1698">
        <v>360.0</v>
      </c>
      <c r="R1698"/>
      <c r="S1698"/>
      <c r="T1698"/>
      <c r="U1698"/>
      <c r="V1698"/>
      <c r="W1698">
        <v>18</v>
      </c>
    </row>
    <row r="1699" spans="1:23">
      <c r="A1699"/>
      <c r="B1699" t="s">
        <v>139</v>
      </c>
      <c r="C1699" t="s">
        <v>139</v>
      </c>
      <c r="D1699" t="s">
        <v>37</v>
      </c>
      <c r="E1699" t="s">
        <v>38</v>
      </c>
      <c r="F1699" t="str">
        <f>"0001776"</f>
        <v>0001776</v>
      </c>
      <c r="G1699">
        <v>1</v>
      </c>
      <c r="H1699" t="str">
        <f>"00000000"</f>
        <v>00000000</v>
      </c>
      <c r="I1699" t="s">
        <v>39</v>
      </c>
      <c r="J1699"/>
      <c r="K1699">
        <v>381.36</v>
      </c>
      <c r="L1699">
        <v>0.0</v>
      </c>
      <c r="M1699"/>
      <c r="N1699"/>
      <c r="O1699">
        <v>68.64</v>
      </c>
      <c r="P1699">
        <v>0.0</v>
      </c>
      <c r="Q1699">
        <v>450.0</v>
      </c>
      <c r="R1699"/>
      <c r="S1699"/>
      <c r="T1699"/>
      <c r="U1699"/>
      <c r="V1699"/>
      <c r="W1699">
        <v>18</v>
      </c>
    </row>
    <row r="1700" spans="1:23">
      <c r="A1700"/>
      <c r="B1700" t="s">
        <v>139</v>
      </c>
      <c r="C1700" t="s">
        <v>139</v>
      </c>
      <c r="D1700" t="s">
        <v>37</v>
      </c>
      <c r="E1700" t="s">
        <v>38</v>
      </c>
      <c r="F1700" t="str">
        <f>"0001777"</f>
        <v>0001777</v>
      </c>
      <c r="G1700">
        <v>1</v>
      </c>
      <c r="H1700" t="str">
        <f>"00000000"</f>
        <v>00000000</v>
      </c>
      <c r="I1700" t="s">
        <v>39</v>
      </c>
      <c r="J1700"/>
      <c r="K1700">
        <v>271.19</v>
      </c>
      <c r="L1700">
        <v>0.0</v>
      </c>
      <c r="M1700"/>
      <c r="N1700"/>
      <c r="O1700">
        <v>48.81</v>
      </c>
      <c r="P1700">
        <v>0.0</v>
      </c>
      <c r="Q1700">
        <v>320.0</v>
      </c>
      <c r="R1700"/>
      <c r="S1700"/>
      <c r="T1700"/>
      <c r="U1700"/>
      <c r="V1700"/>
      <c r="W1700">
        <v>18</v>
      </c>
    </row>
    <row r="1701" spans="1:23">
      <c r="A1701"/>
      <c r="B1701" t="s">
        <v>139</v>
      </c>
      <c r="C1701" t="s">
        <v>139</v>
      </c>
      <c r="D1701" t="s">
        <v>37</v>
      </c>
      <c r="E1701" t="s">
        <v>38</v>
      </c>
      <c r="F1701" t="str">
        <f>"0001778"</f>
        <v>0001778</v>
      </c>
      <c r="G1701">
        <v>1</v>
      </c>
      <c r="H1701" t="str">
        <f>"00000000"</f>
        <v>00000000</v>
      </c>
      <c r="I1701" t="s">
        <v>39</v>
      </c>
      <c r="J1701"/>
      <c r="K1701">
        <v>381.36</v>
      </c>
      <c r="L1701">
        <v>0.0</v>
      </c>
      <c r="M1701"/>
      <c r="N1701"/>
      <c r="O1701">
        <v>68.64</v>
      </c>
      <c r="P1701">
        <v>0.0</v>
      </c>
      <c r="Q1701">
        <v>450.0</v>
      </c>
      <c r="R1701"/>
      <c r="S1701"/>
      <c r="T1701"/>
      <c r="U1701"/>
      <c r="V1701"/>
      <c r="W1701">
        <v>18</v>
      </c>
    </row>
    <row r="1702" spans="1:23">
      <c r="A1702"/>
      <c r="B1702" t="s">
        <v>139</v>
      </c>
      <c r="C1702" t="s">
        <v>139</v>
      </c>
      <c r="D1702" t="s">
        <v>37</v>
      </c>
      <c r="E1702" t="s">
        <v>38</v>
      </c>
      <c r="F1702" t="str">
        <f>"0001779"</f>
        <v>0001779</v>
      </c>
      <c r="G1702">
        <v>1</v>
      </c>
      <c r="H1702" t="str">
        <f>"00000000"</f>
        <v>00000000</v>
      </c>
      <c r="I1702" t="s">
        <v>39</v>
      </c>
      <c r="J1702"/>
      <c r="K1702">
        <v>338.98</v>
      </c>
      <c r="L1702">
        <v>0.0</v>
      </c>
      <c r="M1702"/>
      <c r="N1702"/>
      <c r="O1702">
        <v>61.02</v>
      </c>
      <c r="P1702">
        <v>0.0</v>
      </c>
      <c r="Q1702">
        <v>400.0</v>
      </c>
      <c r="R1702"/>
      <c r="S1702"/>
      <c r="T1702"/>
      <c r="U1702"/>
      <c r="V1702"/>
      <c r="W1702">
        <v>18</v>
      </c>
    </row>
    <row r="1703" spans="1:23">
      <c r="A1703"/>
      <c r="B1703" t="s">
        <v>139</v>
      </c>
      <c r="C1703" t="s">
        <v>139</v>
      </c>
      <c r="D1703" t="s">
        <v>37</v>
      </c>
      <c r="E1703" t="s">
        <v>38</v>
      </c>
      <c r="F1703" t="str">
        <f>"0001780"</f>
        <v>0001780</v>
      </c>
      <c r="G1703">
        <v>1</v>
      </c>
      <c r="H1703" t="str">
        <f>"00000000"</f>
        <v>00000000</v>
      </c>
      <c r="I1703" t="s">
        <v>39</v>
      </c>
      <c r="J1703"/>
      <c r="K1703">
        <v>152.54</v>
      </c>
      <c r="L1703">
        <v>0.0</v>
      </c>
      <c r="M1703"/>
      <c r="N1703"/>
      <c r="O1703">
        <v>27.46</v>
      </c>
      <c r="P1703">
        <v>0.0</v>
      </c>
      <c r="Q1703">
        <v>180.0</v>
      </c>
      <c r="R1703"/>
      <c r="S1703"/>
      <c r="T1703"/>
      <c r="U1703"/>
      <c r="V1703"/>
      <c r="W1703">
        <v>18</v>
      </c>
    </row>
    <row r="1704" spans="1:23">
      <c r="A1704"/>
      <c r="B1704" t="s">
        <v>139</v>
      </c>
      <c r="C1704" t="s">
        <v>139</v>
      </c>
      <c r="D1704" t="s">
        <v>37</v>
      </c>
      <c r="E1704" t="s">
        <v>38</v>
      </c>
      <c r="F1704" t="str">
        <f>"0001781"</f>
        <v>0001781</v>
      </c>
      <c r="G1704">
        <v>1</v>
      </c>
      <c r="H1704" t="str">
        <f>"00000000"</f>
        <v>00000000</v>
      </c>
      <c r="I1704" t="s">
        <v>39</v>
      </c>
      <c r="J1704"/>
      <c r="K1704">
        <v>423.73</v>
      </c>
      <c r="L1704">
        <v>0.0</v>
      </c>
      <c r="M1704"/>
      <c r="N1704"/>
      <c r="O1704">
        <v>76.27</v>
      </c>
      <c r="P1704">
        <v>0.0</v>
      </c>
      <c r="Q1704">
        <v>500.0</v>
      </c>
      <c r="R1704"/>
      <c r="S1704"/>
      <c r="T1704"/>
      <c r="U1704"/>
      <c r="V1704"/>
      <c r="W1704">
        <v>18</v>
      </c>
    </row>
    <row r="1705" spans="1:23">
      <c r="A1705"/>
      <c r="B1705" t="s">
        <v>139</v>
      </c>
      <c r="C1705" t="s">
        <v>139</v>
      </c>
      <c r="D1705" t="s">
        <v>37</v>
      </c>
      <c r="E1705" t="s">
        <v>38</v>
      </c>
      <c r="F1705" t="str">
        <f>"0001782"</f>
        <v>0001782</v>
      </c>
      <c r="G1705">
        <v>1</v>
      </c>
      <c r="H1705" t="str">
        <f>"00000000"</f>
        <v>00000000</v>
      </c>
      <c r="I1705" t="s">
        <v>39</v>
      </c>
      <c r="J1705"/>
      <c r="K1705">
        <v>372.88</v>
      </c>
      <c r="L1705">
        <v>0.0</v>
      </c>
      <c r="M1705"/>
      <c r="N1705"/>
      <c r="O1705">
        <v>67.12</v>
      </c>
      <c r="P1705">
        <v>0.0</v>
      </c>
      <c r="Q1705">
        <v>440.0</v>
      </c>
      <c r="R1705"/>
      <c r="S1705"/>
      <c r="T1705"/>
      <c r="U1705"/>
      <c r="V1705"/>
      <c r="W1705">
        <v>18</v>
      </c>
    </row>
    <row r="1706" spans="1:23">
      <c r="A1706"/>
      <c r="B1706" t="s">
        <v>139</v>
      </c>
      <c r="C1706" t="s">
        <v>139</v>
      </c>
      <c r="D1706" t="s">
        <v>37</v>
      </c>
      <c r="E1706" t="s">
        <v>38</v>
      </c>
      <c r="F1706" t="str">
        <f>"0001783"</f>
        <v>0001783</v>
      </c>
      <c r="G1706">
        <v>1</v>
      </c>
      <c r="H1706" t="str">
        <f>"00000000"</f>
        <v>00000000</v>
      </c>
      <c r="I1706" t="s">
        <v>39</v>
      </c>
      <c r="J1706"/>
      <c r="K1706">
        <v>372.88</v>
      </c>
      <c r="L1706">
        <v>0.0</v>
      </c>
      <c r="M1706"/>
      <c r="N1706"/>
      <c r="O1706">
        <v>67.12</v>
      </c>
      <c r="P1706">
        <v>0.0</v>
      </c>
      <c r="Q1706">
        <v>440.0</v>
      </c>
      <c r="R1706"/>
      <c r="S1706"/>
      <c r="T1706"/>
      <c r="U1706"/>
      <c r="V1706"/>
      <c r="W1706">
        <v>18</v>
      </c>
    </row>
    <row r="1707" spans="1:23">
      <c r="A1707"/>
      <c r="B1707" t="s">
        <v>139</v>
      </c>
      <c r="C1707" t="s">
        <v>139</v>
      </c>
      <c r="D1707" t="s">
        <v>37</v>
      </c>
      <c r="E1707" t="s">
        <v>38</v>
      </c>
      <c r="F1707" t="str">
        <f>"0001784"</f>
        <v>0001784</v>
      </c>
      <c r="G1707">
        <v>1</v>
      </c>
      <c r="H1707" t="str">
        <f>"00000000"</f>
        <v>00000000</v>
      </c>
      <c r="I1707" t="s">
        <v>39</v>
      </c>
      <c r="J1707"/>
      <c r="K1707">
        <v>338.98</v>
      </c>
      <c r="L1707">
        <v>0.0</v>
      </c>
      <c r="M1707"/>
      <c r="N1707"/>
      <c r="O1707">
        <v>61.02</v>
      </c>
      <c r="P1707">
        <v>0.0</v>
      </c>
      <c r="Q1707">
        <v>400.0</v>
      </c>
      <c r="R1707"/>
      <c r="S1707"/>
      <c r="T1707"/>
      <c r="U1707"/>
      <c r="V1707"/>
      <c r="W1707">
        <v>18</v>
      </c>
    </row>
    <row r="1708" spans="1:23">
      <c r="A1708"/>
      <c r="B1708" t="s">
        <v>139</v>
      </c>
      <c r="C1708" t="s">
        <v>139</v>
      </c>
      <c r="D1708" t="s">
        <v>37</v>
      </c>
      <c r="E1708" t="s">
        <v>38</v>
      </c>
      <c r="F1708" t="str">
        <f>"0001785"</f>
        <v>0001785</v>
      </c>
      <c r="G1708">
        <v>1</v>
      </c>
      <c r="H1708" t="str">
        <f>"00000000"</f>
        <v>00000000</v>
      </c>
      <c r="I1708" t="s">
        <v>39</v>
      </c>
      <c r="J1708"/>
      <c r="K1708">
        <v>406.78</v>
      </c>
      <c r="L1708">
        <v>0.0</v>
      </c>
      <c r="M1708"/>
      <c r="N1708"/>
      <c r="O1708">
        <v>73.22</v>
      </c>
      <c r="P1708">
        <v>0.0</v>
      </c>
      <c r="Q1708">
        <v>480.0</v>
      </c>
      <c r="R1708"/>
      <c r="S1708"/>
      <c r="T1708"/>
      <c r="U1708"/>
      <c r="V1708"/>
      <c r="W1708">
        <v>18</v>
      </c>
    </row>
    <row r="1709" spans="1:23">
      <c r="A1709"/>
      <c r="B1709" t="s">
        <v>139</v>
      </c>
      <c r="C1709" t="s">
        <v>139</v>
      </c>
      <c r="D1709" t="s">
        <v>37</v>
      </c>
      <c r="E1709" t="s">
        <v>38</v>
      </c>
      <c r="F1709" t="str">
        <f>"0001786"</f>
        <v>0001786</v>
      </c>
      <c r="G1709">
        <v>1</v>
      </c>
      <c r="H1709" t="str">
        <f>"00000000"</f>
        <v>00000000</v>
      </c>
      <c r="I1709" t="s">
        <v>39</v>
      </c>
      <c r="J1709"/>
      <c r="K1709">
        <v>457.63</v>
      </c>
      <c r="L1709">
        <v>0.0</v>
      </c>
      <c r="M1709"/>
      <c r="N1709"/>
      <c r="O1709">
        <v>82.37</v>
      </c>
      <c r="P1709">
        <v>0.0</v>
      </c>
      <c r="Q1709">
        <v>540.0</v>
      </c>
      <c r="R1709"/>
      <c r="S1709"/>
      <c r="T1709"/>
      <c r="U1709"/>
      <c r="V1709"/>
      <c r="W1709">
        <v>18</v>
      </c>
    </row>
    <row r="1710" spans="1:23">
      <c r="A1710"/>
      <c r="B1710" t="s">
        <v>139</v>
      </c>
      <c r="C1710" t="s">
        <v>139</v>
      </c>
      <c r="D1710" t="s">
        <v>37</v>
      </c>
      <c r="E1710" t="s">
        <v>38</v>
      </c>
      <c r="F1710" t="str">
        <f>"0001787"</f>
        <v>0001787</v>
      </c>
      <c r="G1710">
        <v>1</v>
      </c>
      <c r="H1710" t="str">
        <f>"00000000"</f>
        <v>00000000</v>
      </c>
      <c r="I1710" t="s">
        <v>39</v>
      </c>
      <c r="J1710"/>
      <c r="K1710">
        <v>355.93</v>
      </c>
      <c r="L1710">
        <v>0.0</v>
      </c>
      <c r="M1710"/>
      <c r="N1710"/>
      <c r="O1710">
        <v>64.07</v>
      </c>
      <c r="P1710">
        <v>0.0</v>
      </c>
      <c r="Q1710">
        <v>420.0</v>
      </c>
      <c r="R1710"/>
      <c r="S1710"/>
      <c r="T1710"/>
      <c r="U1710"/>
      <c r="V1710"/>
      <c r="W1710">
        <v>18</v>
      </c>
    </row>
    <row r="1711" spans="1:23">
      <c r="A1711"/>
      <c r="B1711" t="s">
        <v>139</v>
      </c>
      <c r="C1711" t="s">
        <v>139</v>
      </c>
      <c r="D1711" t="s">
        <v>37</v>
      </c>
      <c r="E1711" t="s">
        <v>38</v>
      </c>
      <c r="F1711" t="str">
        <f>"0001788"</f>
        <v>0001788</v>
      </c>
      <c r="G1711">
        <v>1</v>
      </c>
      <c r="H1711" t="str">
        <f>"00000000"</f>
        <v>00000000</v>
      </c>
      <c r="I1711" t="s">
        <v>39</v>
      </c>
      <c r="J1711"/>
      <c r="K1711">
        <v>406.78</v>
      </c>
      <c r="L1711">
        <v>0.0</v>
      </c>
      <c r="M1711"/>
      <c r="N1711"/>
      <c r="O1711">
        <v>73.22</v>
      </c>
      <c r="P1711">
        <v>0.0</v>
      </c>
      <c r="Q1711">
        <v>480.0</v>
      </c>
      <c r="R1711"/>
      <c r="S1711"/>
      <c r="T1711"/>
      <c r="U1711"/>
      <c r="V1711"/>
      <c r="W1711">
        <v>18</v>
      </c>
    </row>
    <row r="1712" spans="1:23">
      <c r="A1712"/>
      <c r="B1712" t="s">
        <v>139</v>
      </c>
      <c r="C1712" t="s">
        <v>139</v>
      </c>
      <c r="D1712" t="s">
        <v>37</v>
      </c>
      <c r="E1712" t="s">
        <v>38</v>
      </c>
      <c r="F1712" t="str">
        <f>"0001789"</f>
        <v>0001789</v>
      </c>
      <c r="G1712">
        <v>1</v>
      </c>
      <c r="H1712" t="str">
        <f>"00000000"</f>
        <v>00000000</v>
      </c>
      <c r="I1712" t="s">
        <v>39</v>
      </c>
      <c r="J1712"/>
      <c r="K1712">
        <v>381.36</v>
      </c>
      <c r="L1712">
        <v>0.0</v>
      </c>
      <c r="M1712"/>
      <c r="N1712"/>
      <c r="O1712">
        <v>68.64</v>
      </c>
      <c r="P1712">
        <v>0.0</v>
      </c>
      <c r="Q1712">
        <v>450.0</v>
      </c>
      <c r="R1712"/>
      <c r="S1712"/>
      <c r="T1712"/>
      <c r="U1712"/>
      <c r="V1712"/>
      <c r="W1712">
        <v>18</v>
      </c>
    </row>
    <row r="1713" spans="1:23">
      <c r="A1713"/>
      <c r="B1713" t="s">
        <v>139</v>
      </c>
      <c r="C1713" t="s">
        <v>139</v>
      </c>
      <c r="D1713" t="s">
        <v>37</v>
      </c>
      <c r="E1713" t="s">
        <v>38</v>
      </c>
      <c r="F1713" t="str">
        <f>"0001790"</f>
        <v>0001790</v>
      </c>
      <c r="G1713">
        <v>1</v>
      </c>
      <c r="H1713" t="str">
        <f>"00000000"</f>
        <v>00000000</v>
      </c>
      <c r="I1713" t="s">
        <v>39</v>
      </c>
      <c r="J1713"/>
      <c r="K1713">
        <v>203.39</v>
      </c>
      <c r="L1713">
        <v>0.0</v>
      </c>
      <c r="M1713"/>
      <c r="N1713"/>
      <c r="O1713">
        <v>36.61</v>
      </c>
      <c r="P1713">
        <v>0.0</v>
      </c>
      <c r="Q1713">
        <v>240.0</v>
      </c>
      <c r="R1713"/>
      <c r="S1713"/>
      <c r="T1713"/>
      <c r="U1713"/>
      <c r="V1713"/>
      <c r="W1713">
        <v>18</v>
      </c>
    </row>
    <row r="1714" spans="1:23">
      <c r="A1714"/>
      <c r="B1714" t="s">
        <v>139</v>
      </c>
      <c r="C1714" t="s">
        <v>139</v>
      </c>
      <c r="D1714" t="s">
        <v>37</v>
      </c>
      <c r="E1714" t="s">
        <v>38</v>
      </c>
      <c r="F1714" t="str">
        <f>"0001791"</f>
        <v>0001791</v>
      </c>
      <c r="G1714">
        <v>1</v>
      </c>
      <c r="H1714" t="str">
        <f>"00000000"</f>
        <v>00000000</v>
      </c>
      <c r="I1714" t="s">
        <v>39</v>
      </c>
      <c r="J1714"/>
      <c r="K1714">
        <v>338.98</v>
      </c>
      <c r="L1714">
        <v>0.0</v>
      </c>
      <c r="M1714"/>
      <c r="N1714"/>
      <c r="O1714">
        <v>61.02</v>
      </c>
      <c r="P1714">
        <v>0.0</v>
      </c>
      <c r="Q1714">
        <v>400.0</v>
      </c>
      <c r="R1714"/>
      <c r="S1714"/>
      <c r="T1714"/>
      <c r="U1714"/>
      <c r="V1714"/>
      <c r="W1714">
        <v>18</v>
      </c>
    </row>
    <row r="1715" spans="1:23">
      <c r="A1715"/>
      <c r="B1715" t="s">
        <v>139</v>
      </c>
      <c r="C1715" t="s">
        <v>139</v>
      </c>
      <c r="D1715" t="s">
        <v>37</v>
      </c>
      <c r="E1715" t="s">
        <v>38</v>
      </c>
      <c r="F1715" t="str">
        <f>"0001792"</f>
        <v>0001792</v>
      </c>
      <c r="G1715">
        <v>1</v>
      </c>
      <c r="H1715" t="str">
        <f>"00000000"</f>
        <v>00000000</v>
      </c>
      <c r="I1715" t="s">
        <v>39</v>
      </c>
      <c r="J1715"/>
      <c r="K1715">
        <v>444.92</v>
      </c>
      <c r="L1715">
        <v>0.0</v>
      </c>
      <c r="M1715"/>
      <c r="N1715"/>
      <c r="O1715">
        <v>80.08</v>
      </c>
      <c r="P1715">
        <v>0.0</v>
      </c>
      <c r="Q1715">
        <v>525.0</v>
      </c>
      <c r="R1715"/>
      <c r="S1715"/>
      <c r="T1715"/>
      <c r="U1715"/>
      <c r="V1715"/>
      <c r="W1715">
        <v>18</v>
      </c>
    </row>
    <row r="1716" spans="1:23">
      <c r="A1716"/>
      <c r="B1716" t="s">
        <v>139</v>
      </c>
      <c r="C1716" t="s">
        <v>139</v>
      </c>
      <c r="D1716" t="s">
        <v>37</v>
      </c>
      <c r="E1716" t="s">
        <v>38</v>
      </c>
      <c r="F1716" t="str">
        <f>"0001793"</f>
        <v>0001793</v>
      </c>
      <c r="G1716">
        <v>1</v>
      </c>
      <c r="H1716" t="str">
        <f>"00000000"</f>
        <v>00000000</v>
      </c>
      <c r="I1716" t="s">
        <v>39</v>
      </c>
      <c r="J1716"/>
      <c r="K1716">
        <v>372.88</v>
      </c>
      <c r="L1716">
        <v>0.0</v>
      </c>
      <c r="M1716"/>
      <c r="N1716"/>
      <c r="O1716">
        <v>67.12</v>
      </c>
      <c r="P1716">
        <v>0.0</v>
      </c>
      <c r="Q1716">
        <v>440.0</v>
      </c>
      <c r="R1716"/>
      <c r="S1716"/>
      <c r="T1716"/>
      <c r="U1716"/>
      <c r="V1716"/>
      <c r="W1716">
        <v>18</v>
      </c>
    </row>
    <row r="1717" spans="1:23">
      <c r="A1717"/>
      <c r="B1717" t="s">
        <v>139</v>
      </c>
      <c r="C1717" t="s">
        <v>139</v>
      </c>
      <c r="D1717" t="s">
        <v>37</v>
      </c>
      <c r="E1717" t="s">
        <v>38</v>
      </c>
      <c r="F1717" t="str">
        <f>"0001794"</f>
        <v>0001794</v>
      </c>
      <c r="G1717">
        <v>1</v>
      </c>
      <c r="H1717" t="str">
        <f>"00000000"</f>
        <v>00000000</v>
      </c>
      <c r="I1717" t="s">
        <v>39</v>
      </c>
      <c r="J1717"/>
      <c r="K1717">
        <v>474.58</v>
      </c>
      <c r="L1717">
        <v>0.0</v>
      </c>
      <c r="M1717"/>
      <c r="N1717"/>
      <c r="O1717">
        <v>85.42</v>
      </c>
      <c r="P1717">
        <v>0.0</v>
      </c>
      <c r="Q1717">
        <v>560.0</v>
      </c>
      <c r="R1717"/>
      <c r="S1717"/>
      <c r="T1717"/>
      <c r="U1717"/>
      <c r="V1717"/>
      <c r="W1717">
        <v>18</v>
      </c>
    </row>
    <row r="1718" spans="1:23">
      <c r="A1718"/>
      <c r="B1718" t="s">
        <v>140</v>
      </c>
      <c r="C1718" t="s">
        <v>140</v>
      </c>
      <c r="D1718" t="s">
        <v>37</v>
      </c>
      <c r="E1718" t="s">
        <v>38</v>
      </c>
      <c r="F1718" t="str">
        <f>"0001795"</f>
        <v>0001795</v>
      </c>
      <c r="G1718">
        <v>1</v>
      </c>
      <c r="H1718" t="str">
        <f>"00000000"</f>
        <v>00000000</v>
      </c>
      <c r="I1718" t="s">
        <v>39</v>
      </c>
      <c r="J1718"/>
      <c r="K1718">
        <v>305.08</v>
      </c>
      <c r="L1718">
        <v>0.0</v>
      </c>
      <c r="M1718"/>
      <c r="N1718"/>
      <c r="O1718">
        <v>54.92</v>
      </c>
      <c r="P1718">
        <v>0.0</v>
      </c>
      <c r="Q1718">
        <v>360.0</v>
      </c>
      <c r="R1718"/>
      <c r="S1718"/>
      <c r="T1718"/>
      <c r="U1718"/>
      <c r="V1718"/>
      <c r="W1718">
        <v>18</v>
      </c>
    </row>
    <row r="1719" spans="1:23">
      <c r="A1719"/>
      <c r="B1719" t="s">
        <v>140</v>
      </c>
      <c r="C1719" t="s">
        <v>140</v>
      </c>
      <c r="D1719" t="s">
        <v>37</v>
      </c>
      <c r="E1719" t="s">
        <v>38</v>
      </c>
      <c r="F1719" t="str">
        <f>"0001796"</f>
        <v>0001796</v>
      </c>
      <c r="G1719">
        <v>1</v>
      </c>
      <c r="H1719" t="str">
        <f>"00000000"</f>
        <v>00000000</v>
      </c>
      <c r="I1719" t="s">
        <v>39</v>
      </c>
      <c r="J1719"/>
      <c r="K1719">
        <v>444.92</v>
      </c>
      <c r="L1719">
        <v>0.0</v>
      </c>
      <c r="M1719"/>
      <c r="N1719"/>
      <c r="O1719">
        <v>80.08</v>
      </c>
      <c r="P1719">
        <v>0.0</v>
      </c>
      <c r="Q1719">
        <v>525.0</v>
      </c>
      <c r="R1719"/>
      <c r="S1719"/>
      <c r="T1719"/>
      <c r="U1719"/>
      <c r="V1719"/>
      <c r="W1719">
        <v>18</v>
      </c>
    </row>
    <row r="1720" spans="1:23">
      <c r="A1720"/>
      <c r="B1720" t="s">
        <v>140</v>
      </c>
      <c r="C1720" t="s">
        <v>140</v>
      </c>
      <c r="D1720" t="s">
        <v>37</v>
      </c>
      <c r="E1720" t="s">
        <v>38</v>
      </c>
      <c r="F1720" t="str">
        <f>"0001797"</f>
        <v>0001797</v>
      </c>
      <c r="G1720">
        <v>1</v>
      </c>
      <c r="H1720" t="str">
        <f>"00000000"</f>
        <v>00000000</v>
      </c>
      <c r="I1720" t="s">
        <v>39</v>
      </c>
      <c r="J1720"/>
      <c r="K1720">
        <v>474.58</v>
      </c>
      <c r="L1720">
        <v>0.0</v>
      </c>
      <c r="M1720"/>
      <c r="N1720"/>
      <c r="O1720">
        <v>85.42</v>
      </c>
      <c r="P1720">
        <v>0.0</v>
      </c>
      <c r="Q1720">
        <v>560.0</v>
      </c>
      <c r="R1720"/>
      <c r="S1720"/>
      <c r="T1720"/>
      <c r="U1720"/>
      <c r="V1720"/>
      <c r="W1720">
        <v>18</v>
      </c>
    </row>
    <row r="1721" spans="1:23">
      <c r="A1721"/>
      <c r="B1721" t="s">
        <v>140</v>
      </c>
      <c r="C1721" t="s">
        <v>140</v>
      </c>
      <c r="D1721" t="s">
        <v>37</v>
      </c>
      <c r="E1721" t="s">
        <v>38</v>
      </c>
      <c r="F1721" t="str">
        <f>"0001798"</f>
        <v>0001798</v>
      </c>
      <c r="G1721">
        <v>1</v>
      </c>
      <c r="H1721" t="str">
        <f>"00000000"</f>
        <v>00000000</v>
      </c>
      <c r="I1721" t="s">
        <v>39</v>
      </c>
      <c r="J1721"/>
      <c r="K1721">
        <v>355.93</v>
      </c>
      <c r="L1721">
        <v>0.0</v>
      </c>
      <c r="M1721"/>
      <c r="N1721"/>
      <c r="O1721">
        <v>64.07</v>
      </c>
      <c r="P1721">
        <v>0.0</v>
      </c>
      <c r="Q1721">
        <v>420.0</v>
      </c>
      <c r="R1721"/>
      <c r="S1721"/>
      <c r="T1721"/>
      <c r="U1721"/>
      <c r="V1721"/>
      <c r="W1721">
        <v>18</v>
      </c>
    </row>
    <row r="1722" spans="1:23">
      <c r="A1722"/>
      <c r="B1722" t="s">
        <v>140</v>
      </c>
      <c r="C1722" t="s">
        <v>140</v>
      </c>
      <c r="D1722" t="s">
        <v>37</v>
      </c>
      <c r="E1722" t="s">
        <v>38</v>
      </c>
      <c r="F1722" t="str">
        <f>"0001799"</f>
        <v>0001799</v>
      </c>
      <c r="G1722">
        <v>1</v>
      </c>
      <c r="H1722" t="str">
        <f>"00000000"</f>
        <v>00000000</v>
      </c>
      <c r="I1722" t="s">
        <v>39</v>
      </c>
      <c r="J1722"/>
      <c r="K1722">
        <v>406.78</v>
      </c>
      <c r="L1722">
        <v>0.0</v>
      </c>
      <c r="M1722"/>
      <c r="N1722"/>
      <c r="O1722">
        <v>73.22</v>
      </c>
      <c r="P1722">
        <v>0.0</v>
      </c>
      <c r="Q1722">
        <v>480.0</v>
      </c>
      <c r="R1722"/>
      <c r="S1722"/>
      <c r="T1722"/>
      <c r="U1722"/>
      <c r="V1722"/>
      <c r="W1722">
        <v>18</v>
      </c>
    </row>
    <row r="1723" spans="1:23">
      <c r="A1723"/>
      <c r="B1723" t="s">
        <v>140</v>
      </c>
      <c r="C1723" t="s">
        <v>140</v>
      </c>
      <c r="D1723" t="s">
        <v>37</v>
      </c>
      <c r="E1723" t="s">
        <v>38</v>
      </c>
      <c r="F1723" t="str">
        <f>"0001800"</f>
        <v>0001800</v>
      </c>
      <c r="G1723">
        <v>1</v>
      </c>
      <c r="H1723" t="str">
        <f>"00000000"</f>
        <v>00000000</v>
      </c>
      <c r="I1723" t="s">
        <v>39</v>
      </c>
      <c r="J1723"/>
      <c r="K1723">
        <v>305.08</v>
      </c>
      <c r="L1723">
        <v>0.0</v>
      </c>
      <c r="M1723"/>
      <c r="N1723"/>
      <c r="O1723">
        <v>54.92</v>
      </c>
      <c r="P1723">
        <v>0.0</v>
      </c>
      <c r="Q1723">
        <v>360.0</v>
      </c>
      <c r="R1723"/>
      <c r="S1723"/>
      <c r="T1723"/>
      <c r="U1723"/>
      <c r="V1723"/>
      <c r="W1723">
        <v>18</v>
      </c>
    </row>
    <row r="1724" spans="1:23">
      <c r="A1724"/>
      <c r="B1724" t="s">
        <v>140</v>
      </c>
      <c r="C1724" t="s">
        <v>140</v>
      </c>
      <c r="D1724" t="s">
        <v>37</v>
      </c>
      <c r="E1724" t="s">
        <v>38</v>
      </c>
      <c r="F1724" t="str">
        <f>"0001801"</f>
        <v>0001801</v>
      </c>
      <c r="G1724">
        <v>1</v>
      </c>
      <c r="H1724" t="str">
        <f>"00000000"</f>
        <v>00000000</v>
      </c>
      <c r="I1724" t="s">
        <v>39</v>
      </c>
      <c r="J1724"/>
      <c r="K1724">
        <v>381.36</v>
      </c>
      <c r="L1724">
        <v>0.0</v>
      </c>
      <c r="M1724"/>
      <c r="N1724"/>
      <c r="O1724">
        <v>68.64</v>
      </c>
      <c r="P1724">
        <v>0.0</v>
      </c>
      <c r="Q1724">
        <v>450.0</v>
      </c>
      <c r="R1724"/>
      <c r="S1724"/>
      <c r="T1724"/>
      <c r="U1724"/>
      <c r="V1724"/>
      <c r="W1724">
        <v>18</v>
      </c>
    </row>
    <row r="1725" spans="1:23">
      <c r="A1725"/>
      <c r="B1725" t="s">
        <v>140</v>
      </c>
      <c r="C1725" t="s">
        <v>140</v>
      </c>
      <c r="D1725" t="s">
        <v>37</v>
      </c>
      <c r="E1725" t="s">
        <v>38</v>
      </c>
      <c r="F1725" t="str">
        <f>"0001802"</f>
        <v>0001802</v>
      </c>
      <c r="G1725">
        <v>1</v>
      </c>
      <c r="H1725" t="str">
        <f>"00000000"</f>
        <v>00000000</v>
      </c>
      <c r="I1725" t="s">
        <v>39</v>
      </c>
      <c r="J1725"/>
      <c r="K1725">
        <v>169.49</v>
      </c>
      <c r="L1725">
        <v>0.0</v>
      </c>
      <c r="M1725"/>
      <c r="N1725"/>
      <c r="O1725">
        <v>30.51</v>
      </c>
      <c r="P1725">
        <v>0.0</v>
      </c>
      <c r="Q1725">
        <v>200.0</v>
      </c>
      <c r="R1725"/>
      <c r="S1725"/>
      <c r="T1725"/>
      <c r="U1725"/>
      <c r="V1725"/>
      <c r="W1725">
        <v>18</v>
      </c>
    </row>
    <row r="1726" spans="1:23">
      <c r="A1726"/>
      <c r="B1726" t="s">
        <v>140</v>
      </c>
      <c r="C1726" t="s">
        <v>140</v>
      </c>
      <c r="D1726" t="s">
        <v>37</v>
      </c>
      <c r="E1726" t="s">
        <v>38</v>
      </c>
      <c r="F1726" t="str">
        <f>"0001803"</f>
        <v>0001803</v>
      </c>
      <c r="G1726">
        <v>1</v>
      </c>
      <c r="H1726" t="str">
        <f>"00000000"</f>
        <v>00000000</v>
      </c>
      <c r="I1726" t="s">
        <v>39</v>
      </c>
      <c r="J1726"/>
      <c r="K1726">
        <v>366.1</v>
      </c>
      <c r="L1726">
        <v>0.0</v>
      </c>
      <c r="M1726"/>
      <c r="N1726"/>
      <c r="O1726">
        <v>65.9</v>
      </c>
      <c r="P1726">
        <v>0.0</v>
      </c>
      <c r="Q1726">
        <v>432.0</v>
      </c>
      <c r="R1726"/>
      <c r="S1726"/>
      <c r="T1726"/>
      <c r="U1726"/>
      <c r="V1726"/>
      <c r="W1726">
        <v>18</v>
      </c>
    </row>
    <row r="1727" spans="1:23">
      <c r="A1727"/>
      <c r="B1727" t="s">
        <v>140</v>
      </c>
      <c r="C1727" t="s">
        <v>140</v>
      </c>
      <c r="D1727" t="s">
        <v>37</v>
      </c>
      <c r="E1727" t="s">
        <v>38</v>
      </c>
      <c r="F1727" t="str">
        <f>"0001804"</f>
        <v>0001804</v>
      </c>
      <c r="G1727">
        <v>1</v>
      </c>
      <c r="H1727" t="str">
        <f>"00000000"</f>
        <v>00000000</v>
      </c>
      <c r="I1727" t="s">
        <v>39</v>
      </c>
      <c r="J1727"/>
      <c r="K1727">
        <v>542.37</v>
      </c>
      <c r="L1727">
        <v>0.0</v>
      </c>
      <c r="M1727"/>
      <c r="N1727"/>
      <c r="O1727">
        <v>97.63</v>
      </c>
      <c r="P1727">
        <v>0.0</v>
      </c>
      <c r="Q1727">
        <v>640.0</v>
      </c>
      <c r="R1727"/>
      <c r="S1727"/>
      <c r="T1727"/>
      <c r="U1727"/>
      <c r="V1727"/>
      <c r="W1727">
        <v>18</v>
      </c>
    </row>
    <row r="1728" spans="1:23">
      <c r="A1728"/>
      <c r="B1728" t="s">
        <v>140</v>
      </c>
      <c r="C1728" t="s">
        <v>140</v>
      </c>
      <c r="D1728" t="s">
        <v>37</v>
      </c>
      <c r="E1728" t="s">
        <v>38</v>
      </c>
      <c r="F1728" t="str">
        <f>"0001805"</f>
        <v>0001805</v>
      </c>
      <c r="G1728">
        <v>1</v>
      </c>
      <c r="H1728" t="str">
        <f>"00000000"</f>
        <v>00000000</v>
      </c>
      <c r="I1728" t="s">
        <v>39</v>
      </c>
      <c r="J1728"/>
      <c r="K1728">
        <v>389.83</v>
      </c>
      <c r="L1728">
        <v>0.0</v>
      </c>
      <c r="M1728"/>
      <c r="N1728"/>
      <c r="O1728">
        <v>70.17</v>
      </c>
      <c r="P1728">
        <v>0.0</v>
      </c>
      <c r="Q1728">
        <v>460.0</v>
      </c>
      <c r="R1728"/>
      <c r="S1728"/>
      <c r="T1728"/>
      <c r="U1728"/>
      <c r="V1728"/>
      <c r="W1728">
        <v>18</v>
      </c>
    </row>
    <row r="1729" spans="1:23">
      <c r="A1729"/>
      <c r="B1729" t="s">
        <v>140</v>
      </c>
      <c r="C1729" t="s">
        <v>140</v>
      </c>
      <c r="D1729" t="s">
        <v>37</v>
      </c>
      <c r="E1729" t="s">
        <v>38</v>
      </c>
      <c r="F1729" t="str">
        <f>"0001806"</f>
        <v>0001806</v>
      </c>
      <c r="G1729">
        <v>1</v>
      </c>
      <c r="H1729" t="str">
        <f>"00000000"</f>
        <v>00000000</v>
      </c>
      <c r="I1729" t="s">
        <v>39</v>
      </c>
      <c r="J1729"/>
      <c r="K1729">
        <v>296.61</v>
      </c>
      <c r="L1729">
        <v>0.0</v>
      </c>
      <c r="M1729"/>
      <c r="N1729"/>
      <c r="O1729">
        <v>53.39</v>
      </c>
      <c r="P1729">
        <v>0.0</v>
      </c>
      <c r="Q1729">
        <v>350.0</v>
      </c>
      <c r="R1729"/>
      <c r="S1729"/>
      <c r="T1729"/>
      <c r="U1729"/>
      <c r="V1729"/>
      <c r="W1729">
        <v>18</v>
      </c>
    </row>
    <row r="1730" spans="1:23">
      <c r="A1730"/>
      <c r="B1730" t="s">
        <v>140</v>
      </c>
      <c r="C1730" t="s">
        <v>140</v>
      </c>
      <c r="D1730" t="s">
        <v>37</v>
      </c>
      <c r="E1730" t="s">
        <v>38</v>
      </c>
      <c r="F1730" t="str">
        <f>"0001807"</f>
        <v>0001807</v>
      </c>
      <c r="G1730">
        <v>1</v>
      </c>
      <c r="H1730" t="str">
        <f>"00000000"</f>
        <v>00000000</v>
      </c>
      <c r="I1730" t="s">
        <v>39</v>
      </c>
      <c r="J1730"/>
      <c r="K1730">
        <v>440.68</v>
      </c>
      <c r="L1730">
        <v>0.0</v>
      </c>
      <c r="M1730"/>
      <c r="N1730"/>
      <c r="O1730">
        <v>79.32</v>
      </c>
      <c r="P1730">
        <v>0.0</v>
      </c>
      <c r="Q1730">
        <v>520.0</v>
      </c>
      <c r="R1730"/>
      <c r="S1730"/>
      <c r="T1730"/>
      <c r="U1730"/>
      <c r="V1730"/>
      <c r="W1730">
        <v>18</v>
      </c>
    </row>
    <row r="1731" spans="1:23">
      <c r="A1731"/>
      <c r="B1731" t="s">
        <v>140</v>
      </c>
      <c r="C1731" t="s">
        <v>140</v>
      </c>
      <c r="D1731" t="s">
        <v>37</v>
      </c>
      <c r="E1731" t="s">
        <v>38</v>
      </c>
      <c r="F1731" t="str">
        <f>"0001808"</f>
        <v>0001808</v>
      </c>
      <c r="G1731">
        <v>1</v>
      </c>
      <c r="H1731" t="str">
        <f>"00000000"</f>
        <v>00000000</v>
      </c>
      <c r="I1731" t="s">
        <v>39</v>
      </c>
      <c r="J1731"/>
      <c r="K1731">
        <v>266.95</v>
      </c>
      <c r="L1731">
        <v>0.0</v>
      </c>
      <c r="M1731"/>
      <c r="N1731"/>
      <c r="O1731">
        <v>48.05</v>
      </c>
      <c r="P1731">
        <v>0.0</v>
      </c>
      <c r="Q1731">
        <v>315.0</v>
      </c>
      <c r="R1731"/>
      <c r="S1731"/>
      <c r="T1731"/>
      <c r="U1731"/>
      <c r="V1731"/>
      <c r="W1731">
        <v>18</v>
      </c>
    </row>
    <row r="1732" spans="1:23">
      <c r="A1732"/>
      <c r="B1732" t="s">
        <v>140</v>
      </c>
      <c r="C1732" t="s">
        <v>140</v>
      </c>
      <c r="D1732" t="s">
        <v>37</v>
      </c>
      <c r="E1732" t="s">
        <v>38</v>
      </c>
      <c r="F1732" t="str">
        <f>"0001809"</f>
        <v>0001809</v>
      </c>
      <c r="G1732">
        <v>1</v>
      </c>
      <c r="H1732" t="str">
        <f>"00000000"</f>
        <v>00000000</v>
      </c>
      <c r="I1732" t="s">
        <v>39</v>
      </c>
      <c r="J1732"/>
      <c r="K1732">
        <v>372.88</v>
      </c>
      <c r="L1732">
        <v>0.0</v>
      </c>
      <c r="M1732"/>
      <c r="N1732"/>
      <c r="O1732">
        <v>67.12</v>
      </c>
      <c r="P1732">
        <v>0.0</v>
      </c>
      <c r="Q1732">
        <v>440.0</v>
      </c>
      <c r="R1732"/>
      <c r="S1732"/>
      <c r="T1732"/>
      <c r="U1732"/>
      <c r="V1732"/>
      <c r="W1732">
        <v>18</v>
      </c>
    </row>
    <row r="1733" spans="1:23">
      <c r="A1733"/>
      <c r="B1733" t="s">
        <v>140</v>
      </c>
      <c r="C1733" t="s">
        <v>140</v>
      </c>
      <c r="D1733" t="s">
        <v>37</v>
      </c>
      <c r="E1733" t="s">
        <v>38</v>
      </c>
      <c r="F1733" t="str">
        <f>"0001810"</f>
        <v>0001810</v>
      </c>
      <c r="G1733">
        <v>1</v>
      </c>
      <c r="H1733" t="str">
        <f>"00000000"</f>
        <v>00000000</v>
      </c>
      <c r="I1733" t="s">
        <v>39</v>
      </c>
      <c r="J1733"/>
      <c r="K1733">
        <v>508.47</v>
      </c>
      <c r="L1733">
        <v>0.0</v>
      </c>
      <c r="M1733"/>
      <c r="N1733"/>
      <c r="O1733">
        <v>91.53</v>
      </c>
      <c r="P1733">
        <v>0.0</v>
      </c>
      <c r="Q1733">
        <v>600.0</v>
      </c>
      <c r="R1733"/>
      <c r="S1733"/>
      <c r="T1733"/>
      <c r="U1733"/>
      <c r="V1733"/>
      <c r="W1733">
        <v>18</v>
      </c>
    </row>
    <row r="1734" spans="1:23">
      <c r="A1734"/>
      <c r="B1734" t="s">
        <v>140</v>
      </c>
      <c r="C1734" t="s">
        <v>140</v>
      </c>
      <c r="D1734" t="s">
        <v>37</v>
      </c>
      <c r="E1734" t="s">
        <v>38</v>
      </c>
      <c r="F1734" t="str">
        <f>"0001811"</f>
        <v>0001811</v>
      </c>
      <c r="G1734">
        <v>1</v>
      </c>
      <c r="H1734" t="str">
        <f>"00000000"</f>
        <v>00000000</v>
      </c>
      <c r="I1734" t="s">
        <v>39</v>
      </c>
      <c r="J1734"/>
      <c r="K1734">
        <v>381.36</v>
      </c>
      <c r="L1734">
        <v>0.0</v>
      </c>
      <c r="M1734"/>
      <c r="N1734"/>
      <c r="O1734">
        <v>68.64</v>
      </c>
      <c r="P1734">
        <v>0.0</v>
      </c>
      <c r="Q1734">
        <v>450.0</v>
      </c>
      <c r="R1734"/>
      <c r="S1734"/>
      <c r="T1734"/>
      <c r="U1734"/>
      <c r="V1734"/>
      <c r="W1734">
        <v>18</v>
      </c>
    </row>
    <row r="1735" spans="1:23">
      <c r="A1735"/>
      <c r="B1735" t="s">
        <v>140</v>
      </c>
      <c r="C1735" t="s">
        <v>140</v>
      </c>
      <c r="D1735" t="s">
        <v>37</v>
      </c>
      <c r="E1735" t="s">
        <v>38</v>
      </c>
      <c r="F1735" t="str">
        <f>"0001812"</f>
        <v>0001812</v>
      </c>
      <c r="G1735">
        <v>1</v>
      </c>
      <c r="H1735" t="str">
        <f>"00000000"</f>
        <v>00000000</v>
      </c>
      <c r="I1735" t="s">
        <v>39</v>
      </c>
      <c r="J1735"/>
      <c r="K1735">
        <v>474.58</v>
      </c>
      <c r="L1735">
        <v>0.0</v>
      </c>
      <c r="M1735"/>
      <c r="N1735"/>
      <c r="O1735">
        <v>85.42</v>
      </c>
      <c r="P1735">
        <v>0.0</v>
      </c>
      <c r="Q1735">
        <v>560.0</v>
      </c>
      <c r="R1735"/>
      <c r="S1735"/>
      <c r="T1735"/>
      <c r="U1735"/>
      <c r="V1735"/>
      <c r="W1735">
        <v>18</v>
      </c>
    </row>
    <row r="1736" spans="1:23">
      <c r="A1736"/>
      <c r="B1736" t="s">
        <v>140</v>
      </c>
      <c r="C1736" t="s">
        <v>140</v>
      </c>
      <c r="D1736" t="s">
        <v>37</v>
      </c>
      <c r="E1736" t="s">
        <v>38</v>
      </c>
      <c r="F1736" t="str">
        <f>"0001813"</f>
        <v>0001813</v>
      </c>
      <c r="G1736">
        <v>1</v>
      </c>
      <c r="H1736" t="str">
        <f>"00000000"</f>
        <v>00000000</v>
      </c>
      <c r="I1736" t="s">
        <v>39</v>
      </c>
      <c r="J1736"/>
      <c r="K1736">
        <v>266.95</v>
      </c>
      <c r="L1736">
        <v>0.0</v>
      </c>
      <c r="M1736"/>
      <c r="N1736"/>
      <c r="O1736">
        <v>48.05</v>
      </c>
      <c r="P1736">
        <v>0.0</v>
      </c>
      <c r="Q1736">
        <v>315.0</v>
      </c>
      <c r="R1736"/>
      <c r="S1736"/>
      <c r="T1736"/>
      <c r="U1736"/>
      <c r="V1736"/>
      <c r="W1736">
        <v>18</v>
      </c>
    </row>
    <row r="1737" spans="1:23">
      <c r="A1737"/>
      <c r="B1737" t="s">
        <v>140</v>
      </c>
      <c r="C1737" t="s">
        <v>140</v>
      </c>
      <c r="D1737" t="s">
        <v>37</v>
      </c>
      <c r="E1737" t="s">
        <v>38</v>
      </c>
      <c r="F1737" t="str">
        <f>"0001814"</f>
        <v>0001814</v>
      </c>
      <c r="G1737">
        <v>1</v>
      </c>
      <c r="H1737" t="str">
        <f>"00000000"</f>
        <v>00000000</v>
      </c>
      <c r="I1737" t="s">
        <v>39</v>
      </c>
      <c r="J1737"/>
      <c r="K1737">
        <v>326.27</v>
      </c>
      <c r="L1737">
        <v>0.0</v>
      </c>
      <c r="M1737"/>
      <c r="N1737"/>
      <c r="O1737">
        <v>58.73</v>
      </c>
      <c r="P1737">
        <v>0.0</v>
      </c>
      <c r="Q1737">
        <v>385.0</v>
      </c>
      <c r="R1737"/>
      <c r="S1737"/>
      <c r="T1737"/>
      <c r="U1737"/>
      <c r="V1737"/>
      <c r="W1737">
        <v>18</v>
      </c>
    </row>
    <row r="1738" spans="1:23">
      <c r="A1738"/>
      <c r="B1738" t="s">
        <v>140</v>
      </c>
      <c r="C1738" t="s">
        <v>140</v>
      </c>
      <c r="D1738" t="s">
        <v>37</v>
      </c>
      <c r="E1738" t="s">
        <v>38</v>
      </c>
      <c r="F1738" t="str">
        <f>"0001815"</f>
        <v>0001815</v>
      </c>
      <c r="G1738">
        <v>1</v>
      </c>
      <c r="H1738" t="str">
        <f>"00000000"</f>
        <v>00000000</v>
      </c>
      <c r="I1738" t="s">
        <v>39</v>
      </c>
      <c r="J1738"/>
      <c r="K1738">
        <v>533.9</v>
      </c>
      <c r="L1738">
        <v>0.0</v>
      </c>
      <c r="M1738"/>
      <c r="N1738"/>
      <c r="O1738">
        <v>96.1</v>
      </c>
      <c r="P1738">
        <v>0.0</v>
      </c>
      <c r="Q1738">
        <v>630.0</v>
      </c>
      <c r="R1738"/>
      <c r="S1738"/>
      <c r="T1738"/>
      <c r="U1738"/>
      <c r="V1738"/>
      <c r="W1738">
        <v>18</v>
      </c>
    </row>
    <row r="1739" spans="1:23">
      <c r="A1739"/>
      <c r="B1739" t="s">
        <v>140</v>
      </c>
      <c r="C1739" t="s">
        <v>140</v>
      </c>
      <c r="D1739" t="s">
        <v>37</v>
      </c>
      <c r="E1739" t="s">
        <v>38</v>
      </c>
      <c r="F1739" t="str">
        <f>"0001816"</f>
        <v>0001816</v>
      </c>
      <c r="G1739">
        <v>1</v>
      </c>
      <c r="H1739" t="str">
        <f>"00000000"</f>
        <v>00000000</v>
      </c>
      <c r="I1739" t="s">
        <v>39</v>
      </c>
      <c r="J1739"/>
      <c r="K1739">
        <v>528.81</v>
      </c>
      <c r="L1739">
        <v>0.0</v>
      </c>
      <c r="M1739"/>
      <c r="N1739"/>
      <c r="O1739">
        <v>95.19</v>
      </c>
      <c r="P1739">
        <v>0.0</v>
      </c>
      <c r="Q1739">
        <v>624.0</v>
      </c>
      <c r="R1739"/>
      <c r="S1739"/>
      <c r="T1739"/>
      <c r="U1739"/>
      <c r="V1739"/>
      <c r="W1739">
        <v>18</v>
      </c>
    </row>
    <row r="1740" spans="1:23">
      <c r="A1740"/>
      <c r="B1740" t="s">
        <v>140</v>
      </c>
      <c r="C1740" t="s">
        <v>140</v>
      </c>
      <c r="D1740" t="s">
        <v>37</v>
      </c>
      <c r="E1740" t="s">
        <v>38</v>
      </c>
      <c r="F1740" t="str">
        <f>"0001817"</f>
        <v>0001817</v>
      </c>
      <c r="G1740">
        <v>1</v>
      </c>
      <c r="H1740" t="str">
        <f>"00000000"</f>
        <v>00000000</v>
      </c>
      <c r="I1740" t="s">
        <v>39</v>
      </c>
      <c r="J1740"/>
      <c r="K1740">
        <v>338.98</v>
      </c>
      <c r="L1740">
        <v>0.0</v>
      </c>
      <c r="M1740"/>
      <c r="N1740"/>
      <c r="O1740">
        <v>61.02</v>
      </c>
      <c r="P1740">
        <v>0.0</v>
      </c>
      <c r="Q1740">
        <v>400.0</v>
      </c>
      <c r="R1740"/>
      <c r="S1740"/>
      <c r="T1740"/>
      <c r="U1740"/>
      <c r="V1740"/>
      <c r="W1740">
        <v>18</v>
      </c>
    </row>
    <row r="1741" spans="1:23">
      <c r="A1741"/>
      <c r="B1741" t="s">
        <v>140</v>
      </c>
      <c r="C1741" t="s">
        <v>140</v>
      </c>
      <c r="D1741" t="s">
        <v>37</v>
      </c>
      <c r="E1741" t="s">
        <v>38</v>
      </c>
      <c r="F1741" t="str">
        <f>"0001818"</f>
        <v>0001818</v>
      </c>
      <c r="G1741">
        <v>1</v>
      </c>
      <c r="H1741" t="str">
        <f>"00000000"</f>
        <v>00000000</v>
      </c>
      <c r="I1741" t="s">
        <v>39</v>
      </c>
      <c r="J1741"/>
      <c r="K1741">
        <v>440.68</v>
      </c>
      <c r="L1741">
        <v>0.0</v>
      </c>
      <c r="M1741"/>
      <c r="N1741"/>
      <c r="O1741">
        <v>79.32</v>
      </c>
      <c r="P1741">
        <v>0.0</v>
      </c>
      <c r="Q1741">
        <v>520.0</v>
      </c>
      <c r="R1741"/>
      <c r="S1741"/>
      <c r="T1741"/>
      <c r="U1741"/>
      <c r="V1741"/>
      <c r="W1741">
        <v>18</v>
      </c>
    </row>
    <row r="1742" spans="1:23">
      <c r="A1742"/>
      <c r="B1742" t="s">
        <v>140</v>
      </c>
      <c r="C1742" t="s">
        <v>140</v>
      </c>
      <c r="D1742" t="s">
        <v>37</v>
      </c>
      <c r="E1742" t="s">
        <v>38</v>
      </c>
      <c r="F1742" t="str">
        <f>"0001819"</f>
        <v>0001819</v>
      </c>
      <c r="G1742">
        <v>1</v>
      </c>
      <c r="H1742" t="str">
        <f>"00000000"</f>
        <v>00000000</v>
      </c>
      <c r="I1742" t="s">
        <v>39</v>
      </c>
      <c r="J1742"/>
      <c r="K1742">
        <v>381.36</v>
      </c>
      <c r="L1742">
        <v>0.0</v>
      </c>
      <c r="M1742"/>
      <c r="N1742"/>
      <c r="O1742">
        <v>68.64</v>
      </c>
      <c r="P1742">
        <v>0.0</v>
      </c>
      <c r="Q1742">
        <v>450.0</v>
      </c>
      <c r="R1742"/>
      <c r="S1742"/>
      <c r="T1742"/>
      <c r="U1742"/>
      <c r="V1742"/>
      <c r="W1742">
        <v>18</v>
      </c>
    </row>
    <row r="1743" spans="1:23">
      <c r="A1743"/>
      <c r="B1743" t="s">
        <v>140</v>
      </c>
      <c r="C1743" t="s">
        <v>140</v>
      </c>
      <c r="D1743" t="s">
        <v>37</v>
      </c>
      <c r="E1743" t="s">
        <v>38</v>
      </c>
      <c r="F1743" t="str">
        <f>"0001820"</f>
        <v>0001820</v>
      </c>
      <c r="G1743">
        <v>1</v>
      </c>
      <c r="H1743" t="str">
        <f>"00000000"</f>
        <v>00000000</v>
      </c>
      <c r="I1743" t="s">
        <v>39</v>
      </c>
      <c r="J1743"/>
      <c r="K1743">
        <v>338.98</v>
      </c>
      <c r="L1743">
        <v>0.0</v>
      </c>
      <c r="M1743"/>
      <c r="N1743"/>
      <c r="O1743">
        <v>61.02</v>
      </c>
      <c r="P1743">
        <v>0.0</v>
      </c>
      <c r="Q1743">
        <v>400.0</v>
      </c>
      <c r="R1743"/>
      <c r="S1743"/>
      <c r="T1743"/>
      <c r="U1743"/>
      <c r="V1743"/>
      <c r="W1743">
        <v>18</v>
      </c>
    </row>
    <row r="1744" spans="1:23">
      <c r="A1744"/>
      <c r="B1744" t="s">
        <v>140</v>
      </c>
      <c r="C1744" t="s">
        <v>140</v>
      </c>
      <c r="D1744" t="s">
        <v>37</v>
      </c>
      <c r="E1744" t="s">
        <v>38</v>
      </c>
      <c r="F1744" t="str">
        <f>"0001821"</f>
        <v>0001821</v>
      </c>
      <c r="G1744">
        <v>1</v>
      </c>
      <c r="H1744" t="str">
        <f>"00000000"</f>
        <v>00000000</v>
      </c>
      <c r="I1744" t="s">
        <v>39</v>
      </c>
      <c r="J1744"/>
      <c r="K1744">
        <v>148.31</v>
      </c>
      <c r="L1744">
        <v>0.0</v>
      </c>
      <c r="M1744"/>
      <c r="N1744"/>
      <c r="O1744">
        <v>26.69</v>
      </c>
      <c r="P1744">
        <v>0.0</v>
      </c>
      <c r="Q1744">
        <v>175.0</v>
      </c>
      <c r="R1744"/>
      <c r="S1744"/>
      <c r="T1744"/>
      <c r="U1744"/>
      <c r="V1744"/>
      <c r="W1744">
        <v>18</v>
      </c>
    </row>
    <row r="1745" spans="1:23">
      <c r="A1745"/>
      <c r="B1745" t="s">
        <v>140</v>
      </c>
      <c r="C1745" t="s">
        <v>140</v>
      </c>
      <c r="D1745" t="s">
        <v>37</v>
      </c>
      <c r="E1745" t="s">
        <v>38</v>
      </c>
      <c r="F1745" t="str">
        <f>"0001822"</f>
        <v>0001822</v>
      </c>
      <c r="G1745">
        <v>1</v>
      </c>
      <c r="H1745" t="str">
        <f>"00000000"</f>
        <v>00000000</v>
      </c>
      <c r="I1745" t="s">
        <v>39</v>
      </c>
      <c r="J1745"/>
      <c r="K1745">
        <v>228.81</v>
      </c>
      <c r="L1745">
        <v>0.0</v>
      </c>
      <c r="M1745"/>
      <c r="N1745"/>
      <c r="O1745">
        <v>41.19</v>
      </c>
      <c r="P1745">
        <v>0.0</v>
      </c>
      <c r="Q1745">
        <v>270.0</v>
      </c>
      <c r="R1745"/>
      <c r="S1745"/>
      <c r="T1745"/>
      <c r="U1745"/>
      <c r="V1745"/>
      <c r="W1745">
        <v>18</v>
      </c>
    </row>
    <row r="1746" spans="1:23">
      <c r="A1746"/>
      <c r="B1746" t="s">
        <v>140</v>
      </c>
      <c r="C1746" t="s">
        <v>140</v>
      </c>
      <c r="D1746" t="s">
        <v>37</v>
      </c>
      <c r="E1746" t="s">
        <v>38</v>
      </c>
      <c r="F1746" t="str">
        <f>"0001823"</f>
        <v>0001823</v>
      </c>
      <c r="G1746">
        <v>1</v>
      </c>
      <c r="H1746" t="str">
        <f>"00000000"</f>
        <v>00000000</v>
      </c>
      <c r="I1746" t="s">
        <v>39</v>
      </c>
      <c r="J1746"/>
      <c r="K1746">
        <v>279.66</v>
      </c>
      <c r="L1746">
        <v>0.0</v>
      </c>
      <c r="M1746"/>
      <c r="N1746"/>
      <c r="O1746">
        <v>50.34</v>
      </c>
      <c r="P1746">
        <v>0.0</v>
      </c>
      <c r="Q1746">
        <v>330.0</v>
      </c>
      <c r="R1746"/>
      <c r="S1746"/>
      <c r="T1746"/>
      <c r="U1746"/>
      <c r="V1746"/>
      <c r="W1746">
        <v>18</v>
      </c>
    </row>
    <row r="1747" spans="1:23">
      <c r="A1747"/>
      <c r="B1747" t="s">
        <v>140</v>
      </c>
      <c r="C1747" t="s">
        <v>140</v>
      </c>
      <c r="D1747" t="s">
        <v>37</v>
      </c>
      <c r="E1747" t="s">
        <v>38</v>
      </c>
      <c r="F1747" t="str">
        <f>"0001824"</f>
        <v>0001824</v>
      </c>
      <c r="G1747">
        <v>1</v>
      </c>
      <c r="H1747" t="str">
        <f>"00000000"</f>
        <v>00000000</v>
      </c>
      <c r="I1747" t="s">
        <v>39</v>
      </c>
      <c r="J1747"/>
      <c r="K1747">
        <v>169.49</v>
      </c>
      <c r="L1747">
        <v>0.0</v>
      </c>
      <c r="M1747"/>
      <c r="N1747"/>
      <c r="O1747">
        <v>30.51</v>
      </c>
      <c r="P1747">
        <v>0.0</v>
      </c>
      <c r="Q1747">
        <v>200.0</v>
      </c>
      <c r="R1747"/>
      <c r="S1747"/>
      <c r="T1747"/>
      <c r="U1747"/>
      <c r="V1747"/>
      <c r="W1747">
        <v>18</v>
      </c>
    </row>
    <row r="1748" spans="1:23">
      <c r="A1748"/>
      <c r="B1748" t="s">
        <v>140</v>
      </c>
      <c r="C1748" t="s">
        <v>140</v>
      </c>
      <c r="D1748" t="s">
        <v>37</v>
      </c>
      <c r="E1748" t="s">
        <v>38</v>
      </c>
      <c r="F1748" t="str">
        <f>"0001825"</f>
        <v>0001825</v>
      </c>
      <c r="G1748">
        <v>1</v>
      </c>
      <c r="H1748" t="str">
        <f>"00000000"</f>
        <v>00000000</v>
      </c>
      <c r="I1748" t="s">
        <v>39</v>
      </c>
      <c r="J1748"/>
      <c r="K1748">
        <v>474.58</v>
      </c>
      <c r="L1748">
        <v>0.0</v>
      </c>
      <c r="M1748"/>
      <c r="N1748"/>
      <c r="O1748">
        <v>85.42</v>
      </c>
      <c r="P1748">
        <v>0.0</v>
      </c>
      <c r="Q1748">
        <v>560.0</v>
      </c>
      <c r="R1748"/>
      <c r="S1748"/>
      <c r="T1748"/>
      <c r="U1748"/>
      <c r="V1748"/>
      <c r="W1748">
        <v>18</v>
      </c>
    </row>
    <row r="1749" spans="1:23">
      <c r="A1749"/>
      <c r="B1749" t="s">
        <v>140</v>
      </c>
      <c r="C1749" t="s">
        <v>140</v>
      </c>
      <c r="D1749" t="s">
        <v>37</v>
      </c>
      <c r="E1749" t="s">
        <v>38</v>
      </c>
      <c r="F1749" t="str">
        <f>"0001826"</f>
        <v>0001826</v>
      </c>
      <c r="G1749">
        <v>1</v>
      </c>
      <c r="H1749" t="str">
        <f>"00000000"</f>
        <v>00000000</v>
      </c>
      <c r="I1749" t="s">
        <v>39</v>
      </c>
      <c r="J1749"/>
      <c r="K1749">
        <v>355.93</v>
      </c>
      <c r="L1749">
        <v>0.0</v>
      </c>
      <c r="M1749"/>
      <c r="N1749"/>
      <c r="O1749">
        <v>64.07</v>
      </c>
      <c r="P1749">
        <v>0.0</v>
      </c>
      <c r="Q1749">
        <v>420.0</v>
      </c>
      <c r="R1749"/>
      <c r="S1749"/>
      <c r="T1749"/>
      <c r="U1749"/>
      <c r="V1749"/>
      <c r="W1749">
        <v>18</v>
      </c>
    </row>
    <row r="1750" spans="1:23">
      <c r="A1750"/>
      <c r="B1750" t="s">
        <v>140</v>
      </c>
      <c r="C1750" t="s">
        <v>140</v>
      </c>
      <c r="D1750" t="s">
        <v>37</v>
      </c>
      <c r="E1750" t="s">
        <v>38</v>
      </c>
      <c r="F1750" t="str">
        <f>"0001827"</f>
        <v>0001827</v>
      </c>
      <c r="G1750">
        <v>1</v>
      </c>
      <c r="H1750" t="str">
        <f>"00000000"</f>
        <v>00000000</v>
      </c>
      <c r="I1750" t="s">
        <v>39</v>
      </c>
      <c r="J1750"/>
      <c r="K1750">
        <v>474.58</v>
      </c>
      <c r="L1750">
        <v>0.0</v>
      </c>
      <c r="M1750"/>
      <c r="N1750"/>
      <c r="O1750">
        <v>85.42</v>
      </c>
      <c r="P1750">
        <v>0.0</v>
      </c>
      <c r="Q1750">
        <v>560.0</v>
      </c>
      <c r="R1750"/>
      <c r="S1750"/>
      <c r="T1750"/>
      <c r="U1750"/>
      <c r="V1750"/>
      <c r="W1750">
        <v>18</v>
      </c>
    </row>
    <row r="1751" spans="1:23">
      <c r="A1751"/>
      <c r="B1751" t="s">
        <v>140</v>
      </c>
      <c r="C1751" t="s">
        <v>140</v>
      </c>
      <c r="D1751" t="s">
        <v>37</v>
      </c>
      <c r="E1751" t="s">
        <v>38</v>
      </c>
      <c r="F1751" t="str">
        <f>"0001828"</f>
        <v>0001828</v>
      </c>
      <c r="G1751">
        <v>1</v>
      </c>
      <c r="H1751" t="str">
        <f>"00000000"</f>
        <v>00000000</v>
      </c>
      <c r="I1751" t="s">
        <v>39</v>
      </c>
      <c r="J1751"/>
      <c r="K1751">
        <v>355.93</v>
      </c>
      <c r="L1751">
        <v>0.0</v>
      </c>
      <c r="M1751"/>
      <c r="N1751"/>
      <c r="O1751">
        <v>64.07</v>
      </c>
      <c r="P1751">
        <v>0.0</v>
      </c>
      <c r="Q1751">
        <v>420.0</v>
      </c>
      <c r="R1751"/>
      <c r="S1751"/>
      <c r="T1751"/>
      <c r="U1751"/>
      <c r="V1751"/>
      <c r="W1751">
        <v>18</v>
      </c>
    </row>
    <row r="1752" spans="1:23">
      <c r="A1752"/>
      <c r="B1752" t="s">
        <v>141</v>
      </c>
      <c r="C1752" t="s">
        <v>141</v>
      </c>
      <c r="D1752" t="s">
        <v>37</v>
      </c>
      <c r="E1752" t="s">
        <v>38</v>
      </c>
      <c r="F1752" t="str">
        <f>"0001829"</f>
        <v>0001829</v>
      </c>
      <c r="G1752">
        <v>1</v>
      </c>
      <c r="H1752" t="str">
        <f>"00000000"</f>
        <v>00000000</v>
      </c>
      <c r="I1752" t="s">
        <v>39</v>
      </c>
      <c r="J1752"/>
      <c r="K1752">
        <v>343.22</v>
      </c>
      <c r="L1752">
        <v>0.0</v>
      </c>
      <c r="M1752"/>
      <c r="N1752"/>
      <c r="O1752">
        <v>61.78</v>
      </c>
      <c r="P1752">
        <v>0.0</v>
      </c>
      <c r="Q1752">
        <v>405.0</v>
      </c>
      <c r="R1752"/>
      <c r="S1752"/>
      <c r="T1752"/>
      <c r="U1752"/>
      <c r="V1752"/>
      <c r="W1752">
        <v>18</v>
      </c>
    </row>
    <row r="1753" spans="1:23">
      <c r="A1753"/>
      <c r="B1753" t="s">
        <v>141</v>
      </c>
      <c r="C1753" t="s">
        <v>141</v>
      </c>
      <c r="D1753" t="s">
        <v>37</v>
      </c>
      <c r="E1753" t="s">
        <v>38</v>
      </c>
      <c r="F1753" t="str">
        <f>"0001830"</f>
        <v>0001830</v>
      </c>
      <c r="G1753">
        <v>1</v>
      </c>
      <c r="H1753" t="str">
        <f>"00000000"</f>
        <v>00000000</v>
      </c>
      <c r="I1753" t="s">
        <v>39</v>
      </c>
      <c r="J1753"/>
      <c r="K1753">
        <v>169.49</v>
      </c>
      <c r="L1753">
        <v>0.0</v>
      </c>
      <c r="M1753"/>
      <c r="N1753"/>
      <c r="O1753">
        <v>30.51</v>
      </c>
      <c r="P1753">
        <v>0.0</v>
      </c>
      <c r="Q1753">
        <v>200.0</v>
      </c>
      <c r="R1753"/>
      <c r="S1753"/>
      <c r="T1753"/>
      <c r="U1753"/>
      <c r="V1753"/>
      <c r="W1753">
        <v>18</v>
      </c>
    </row>
    <row r="1754" spans="1:23">
      <c r="A1754"/>
      <c r="B1754" t="s">
        <v>141</v>
      </c>
      <c r="C1754" t="s">
        <v>141</v>
      </c>
      <c r="D1754" t="s">
        <v>37</v>
      </c>
      <c r="E1754" t="s">
        <v>38</v>
      </c>
      <c r="F1754" t="str">
        <f>"0001831"</f>
        <v>0001831</v>
      </c>
      <c r="G1754">
        <v>1</v>
      </c>
      <c r="H1754" t="str">
        <f>"00000000"</f>
        <v>00000000</v>
      </c>
      <c r="I1754" t="s">
        <v>39</v>
      </c>
      <c r="J1754"/>
      <c r="K1754">
        <v>317.8</v>
      </c>
      <c r="L1754">
        <v>0.0</v>
      </c>
      <c r="M1754"/>
      <c r="N1754"/>
      <c r="O1754">
        <v>57.2</v>
      </c>
      <c r="P1754">
        <v>0.0</v>
      </c>
      <c r="Q1754">
        <v>375.0</v>
      </c>
      <c r="R1754"/>
      <c r="S1754"/>
      <c r="T1754"/>
      <c r="U1754"/>
      <c r="V1754"/>
      <c r="W1754">
        <v>18</v>
      </c>
    </row>
    <row r="1755" spans="1:23">
      <c r="A1755"/>
      <c r="B1755" t="s">
        <v>141</v>
      </c>
      <c r="C1755" t="s">
        <v>141</v>
      </c>
      <c r="D1755" t="s">
        <v>37</v>
      </c>
      <c r="E1755" t="s">
        <v>38</v>
      </c>
      <c r="F1755" t="str">
        <f>"0001832"</f>
        <v>0001832</v>
      </c>
      <c r="G1755">
        <v>1</v>
      </c>
      <c r="H1755" t="str">
        <f>"00000000"</f>
        <v>00000000</v>
      </c>
      <c r="I1755" t="s">
        <v>39</v>
      </c>
      <c r="J1755"/>
      <c r="K1755">
        <v>372.88</v>
      </c>
      <c r="L1755">
        <v>0.0</v>
      </c>
      <c r="M1755"/>
      <c r="N1755"/>
      <c r="O1755">
        <v>67.12</v>
      </c>
      <c r="P1755">
        <v>0.0</v>
      </c>
      <c r="Q1755">
        <v>440.0</v>
      </c>
      <c r="R1755"/>
      <c r="S1755"/>
      <c r="T1755"/>
      <c r="U1755"/>
      <c r="V1755"/>
      <c r="W1755">
        <v>18</v>
      </c>
    </row>
    <row r="1756" spans="1:23">
      <c r="A1756"/>
      <c r="B1756" t="s">
        <v>141</v>
      </c>
      <c r="C1756" t="s">
        <v>141</v>
      </c>
      <c r="D1756" t="s">
        <v>37</v>
      </c>
      <c r="E1756" t="s">
        <v>38</v>
      </c>
      <c r="F1756" t="str">
        <f>"0001833"</f>
        <v>0001833</v>
      </c>
      <c r="G1756">
        <v>1</v>
      </c>
      <c r="H1756" t="str">
        <f>"00000000"</f>
        <v>00000000</v>
      </c>
      <c r="I1756" t="s">
        <v>39</v>
      </c>
      <c r="J1756"/>
      <c r="K1756">
        <v>237.29</v>
      </c>
      <c r="L1756">
        <v>0.0</v>
      </c>
      <c r="M1756"/>
      <c r="N1756"/>
      <c r="O1756">
        <v>42.71</v>
      </c>
      <c r="P1756">
        <v>0.0</v>
      </c>
      <c r="Q1756">
        <v>280.0</v>
      </c>
      <c r="R1756"/>
      <c r="S1756"/>
      <c r="T1756"/>
      <c r="U1756"/>
      <c r="V1756"/>
      <c r="W1756">
        <v>18</v>
      </c>
    </row>
    <row r="1757" spans="1:23">
      <c r="A1757"/>
      <c r="B1757" t="s">
        <v>141</v>
      </c>
      <c r="C1757" t="s">
        <v>141</v>
      </c>
      <c r="D1757" t="s">
        <v>37</v>
      </c>
      <c r="E1757" t="s">
        <v>38</v>
      </c>
      <c r="F1757" t="str">
        <f>"0001834"</f>
        <v>0001834</v>
      </c>
      <c r="G1757">
        <v>1</v>
      </c>
      <c r="H1757" t="str">
        <f>"00000000"</f>
        <v>00000000</v>
      </c>
      <c r="I1757" t="s">
        <v>39</v>
      </c>
      <c r="J1757"/>
      <c r="K1757">
        <v>572.03</v>
      </c>
      <c r="L1757">
        <v>0.0</v>
      </c>
      <c r="M1757"/>
      <c r="N1757"/>
      <c r="O1757">
        <v>102.97</v>
      </c>
      <c r="P1757">
        <v>0.0</v>
      </c>
      <c r="Q1757">
        <v>675.0</v>
      </c>
      <c r="R1757"/>
      <c r="S1757"/>
      <c r="T1757"/>
      <c r="U1757"/>
      <c r="V1757"/>
      <c r="W1757">
        <v>18</v>
      </c>
    </row>
    <row r="1758" spans="1:23">
      <c r="A1758"/>
      <c r="B1758" t="s">
        <v>141</v>
      </c>
      <c r="C1758" t="s">
        <v>141</v>
      </c>
      <c r="D1758" t="s">
        <v>37</v>
      </c>
      <c r="E1758" t="s">
        <v>38</v>
      </c>
      <c r="F1758" t="str">
        <f>"0001835"</f>
        <v>0001835</v>
      </c>
      <c r="G1758">
        <v>1</v>
      </c>
      <c r="H1758" t="str">
        <f>"00000000"</f>
        <v>00000000</v>
      </c>
      <c r="I1758" t="s">
        <v>39</v>
      </c>
      <c r="J1758"/>
      <c r="K1758">
        <v>367.8</v>
      </c>
      <c r="L1758">
        <v>0.0</v>
      </c>
      <c r="M1758"/>
      <c r="N1758"/>
      <c r="O1758">
        <v>66.2</v>
      </c>
      <c r="P1758">
        <v>0.0</v>
      </c>
      <c r="Q1758">
        <v>434.0</v>
      </c>
      <c r="R1758"/>
      <c r="S1758"/>
      <c r="T1758"/>
      <c r="U1758"/>
      <c r="V1758"/>
      <c r="W1758">
        <v>18</v>
      </c>
    </row>
    <row r="1759" spans="1:23">
      <c r="A1759"/>
      <c r="B1759" t="s">
        <v>141</v>
      </c>
      <c r="C1759" t="s">
        <v>141</v>
      </c>
      <c r="D1759" t="s">
        <v>37</v>
      </c>
      <c r="E1759" t="s">
        <v>38</v>
      </c>
      <c r="F1759" t="str">
        <f>"0001836"</f>
        <v>0001836</v>
      </c>
      <c r="G1759">
        <v>1</v>
      </c>
      <c r="H1759" t="str">
        <f>"00000000"</f>
        <v>00000000</v>
      </c>
      <c r="I1759" t="s">
        <v>39</v>
      </c>
      <c r="J1759"/>
      <c r="K1759">
        <v>508.47</v>
      </c>
      <c r="L1759">
        <v>0.0</v>
      </c>
      <c r="M1759"/>
      <c r="N1759"/>
      <c r="O1759">
        <v>91.53</v>
      </c>
      <c r="P1759">
        <v>0.0</v>
      </c>
      <c r="Q1759">
        <v>600.0</v>
      </c>
      <c r="R1759"/>
      <c r="S1759"/>
      <c r="T1759"/>
      <c r="U1759"/>
      <c r="V1759"/>
      <c r="W1759">
        <v>18</v>
      </c>
    </row>
    <row r="1760" spans="1:23">
      <c r="A1760"/>
      <c r="B1760" t="s">
        <v>141</v>
      </c>
      <c r="C1760" t="s">
        <v>141</v>
      </c>
      <c r="D1760" t="s">
        <v>37</v>
      </c>
      <c r="E1760" t="s">
        <v>38</v>
      </c>
      <c r="F1760" t="str">
        <f>"0001837"</f>
        <v>0001837</v>
      </c>
      <c r="G1760">
        <v>1</v>
      </c>
      <c r="H1760" t="str">
        <f>"00000000"</f>
        <v>00000000</v>
      </c>
      <c r="I1760" t="s">
        <v>39</v>
      </c>
      <c r="J1760"/>
      <c r="K1760">
        <v>474.58</v>
      </c>
      <c r="L1760">
        <v>0.0</v>
      </c>
      <c r="M1760"/>
      <c r="N1760"/>
      <c r="O1760">
        <v>85.42</v>
      </c>
      <c r="P1760">
        <v>0.0</v>
      </c>
      <c r="Q1760">
        <v>560.0</v>
      </c>
      <c r="R1760"/>
      <c r="S1760"/>
      <c r="T1760"/>
      <c r="U1760"/>
      <c r="V1760"/>
      <c r="W1760">
        <v>18</v>
      </c>
    </row>
    <row r="1761" spans="1:23">
      <c r="A1761"/>
      <c r="B1761" t="s">
        <v>141</v>
      </c>
      <c r="C1761" t="s">
        <v>141</v>
      </c>
      <c r="D1761" t="s">
        <v>37</v>
      </c>
      <c r="E1761" t="s">
        <v>38</v>
      </c>
      <c r="F1761" t="str">
        <f>"0001838"</f>
        <v>0001838</v>
      </c>
      <c r="G1761">
        <v>1</v>
      </c>
      <c r="H1761" t="str">
        <f>"00000000"</f>
        <v>00000000</v>
      </c>
      <c r="I1761" t="s">
        <v>39</v>
      </c>
      <c r="J1761"/>
      <c r="K1761">
        <v>355.93</v>
      </c>
      <c r="L1761">
        <v>0.0</v>
      </c>
      <c r="M1761"/>
      <c r="N1761"/>
      <c r="O1761">
        <v>64.07</v>
      </c>
      <c r="P1761">
        <v>0.0</v>
      </c>
      <c r="Q1761">
        <v>420.0</v>
      </c>
      <c r="R1761"/>
      <c r="S1761"/>
      <c r="T1761"/>
      <c r="U1761"/>
      <c r="V1761"/>
      <c r="W1761">
        <v>18</v>
      </c>
    </row>
    <row r="1762" spans="1:23">
      <c r="A1762"/>
      <c r="B1762" t="s">
        <v>141</v>
      </c>
      <c r="C1762" t="s">
        <v>141</v>
      </c>
      <c r="D1762" t="s">
        <v>37</v>
      </c>
      <c r="E1762" t="s">
        <v>38</v>
      </c>
      <c r="F1762" t="str">
        <f>"0001839"</f>
        <v>0001839</v>
      </c>
      <c r="G1762">
        <v>1</v>
      </c>
      <c r="H1762" t="str">
        <f>"00000000"</f>
        <v>00000000</v>
      </c>
      <c r="I1762" t="s">
        <v>39</v>
      </c>
      <c r="J1762"/>
      <c r="K1762">
        <v>338.98</v>
      </c>
      <c r="L1762">
        <v>0.0</v>
      </c>
      <c r="M1762"/>
      <c r="N1762"/>
      <c r="O1762">
        <v>61.02</v>
      </c>
      <c r="P1762">
        <v>0.0</v>
      </c>
      <c r="Q1762">
        <v>400.0</v>
      </c>
      <c r="R1762"/>
      <c r="S1762"/>
      <c r="T1762"/>
      <c r="U1762"/>
      <c r="V1762"/>
      <c r="W1762">
        <v>18</v>
      </c>
    </row>
    <row r="1763" spans="1:23">
      <c r="A1763"/>
      <c r="B1763" t="s">
        <v>141</v>
      </c>
      <c r="C1763" t="s">
        <v>141</v>
      </c>
      <c r="D1763" t="s">
        <v>37</v>
      </c>
      <c r="E1763" t="s">
        <v>38</v>
      </c>
      <c r="F1763" t="str">
        <f>"0001840"</f>
        <v>0001840</v>
      </c>
      <c r="G1763">
        <v>1</v>
      </c>
      <c r="H1763" t="str">
        <f>"00000000"</f>
        <v>00000000</v>
      </c>
      <c r="I1763" t="s">
        <v>39</v>
      </c>
      <c r="J1763"/>
      <c r="K1763">
        <v>67.8</v>
      </c>
      <c r="L1763">
        <v>0.0</v>
      </c>
      <c r="M1763"/>
      <c r="N1763"/>
      <c r="O1763">
        <v>12.2</v>
      </c>
      <c r="P1763">
        <v>0.0</v>
      </c>
      <c r="Q1763">
        <v>80.0</v>
      </c>
      <c r="R1763"/>
      <c r="S1763"/>
      <c r="T1763"/>
      <c r="U1763"/>
      <c r="V1763"/>
      <c r="W1763">
        <v>18</v>
      </c>
    </row>
    <row r="1764" spans="1:23">
      <c r="A1764"/>
      <c r="B1764" t="s">
        <v>141</v>
      </c>
      <c r="C1764" t="s">
        <v>141</v>
      </c>
      <c r="D1764" t="s">
        <v>37</v>
      </c>
      <c r="E1764" t="s">
        <v>38</v>
      </c>
      <c r="F1764" t="str">
        <f>"0001841"</f>
        <v>0001841</v>
      </c>
      <c r="G1764">
        <v>1</v>
      </c>
      <c r="H1764" t="str">
        <f>"00000000"</f>
        <v>00000000</v>
      </c>
      <c r="I1764" t="s">
        <v>39</v>
      </c>
      <c r="J1764"/>
      <c r="K1764">
        <v>338.98</v>
      </c>
      <c r="L1764">
        <v>0.0</v>
      </c>
      <c r="M1764"/>
      <c r="N1764"/>
      <c r="O1764">
        <v>61.02</v>
      </c>
      <c r="P1764">
        <v>0.0</v>
      </c>
      <c r="Q1764">
        <v>400.0</v>
      </c>
      <c r="R1764"/>
      <c r="S1764"/>
      <c r="T1764"/>
      <c r="U1764"/>
      <c r="V1764"/>
      <c r="W1764">
        <v>18</v>
      </c>
    </row>
    <row r="1765" spans="1:23">
      <c r="A1765"/>
      <c r="B1765" t="s">
        <v>141</v>
      </c>
      <c r="C1765" t="s">
        <v>141</v>
      </c>
      <c r="D1765" t="s">
        <v>37</v>
      </c>
      <c r="E1765" t="s">
        <v>38</v>
      </c>
      <c r="F1765" t="str">
        <f>"0001842"</f>
        <v>0001842</v>
      </c>
      <c r="G1765">
        <v>1</v>
      </c>
      <c r="H1765" t="str">
        <f>"00000000"</f>
        <v>00000000</v>
      </c>
      <c r="I1765" t="s">
        <v>39</v>
      </c>
      <c r="J1765"/>
      <c r="K1765">
        <v>338.98</v>
      </c>
      <c r="L1765">
        <v>0.0</v>
      </c>
      <c r="M1765"/>
      <c r="N1765"/>
      <c r="O1765">
        <v>61.02</v>
      </c>
      <c r="P1765">
        <v>0.0</v>
      </c>
      <c r="Q1765">
        <v>400.0</v>
      </c>
      <c r="R1765"/>
      <c r="S1765"/>
      <c r="T1765"/>
      <c r="U1765"/>
      <c r="V1765"/>
      <c r="W1765">
        <v>18</v>
      </c>
    </row>
    <row r="1766" spans="1:23">
      <c r="A1766"/>
      <c r="B1766" t="s">
        <v>141</v>
      </c>
      <c r="C1766" t="s">
        <v>141</v>
      </c>
      <c r="D1766" t="s">
        <v>37</v>
      </c>
      <c r="E1766" t="s">
        <v>38</v>
      </c>
      <c r="F1766" t="str">
        <f>"0001843"</f>
        <v>0001843</v>
      </c>
      <c r="G1766">
        <v>1</v>
      </c>
      <c r="H1766" t="str">
        <f>"00000000"</f>
        <v>00000000</v>
      </c>
      <c r="I1766" t="s">
        <v>39</v>
      </c>
      <c r="J1766"/>
      <c r="K1766">
        <v>233.05</v>
      </c>
      <c r="L1766">
        <v>0.0</v>
      </c>
      <c r="M1766"/>
      <c r="N1766"/>
      <c r="O1766">
        <v>41.95</v>
      </c>
      <c r="P1766">
        <v>0.0</v>
      </c>
      <c r="Q1766">
        <v>275.0</v>
      </c>
      <c r="R1766"/>
      <c r="S1766"/>
      <c r="T1766"/>
      <c r="U1766"/>
      <c r="V1766"/>
      <c r="W1766">
        <v>18</v>
      </c>
    </row>
    <row r="1767" spans="1:23">
      <c r="A1767"/>
      <c r="B1767" t="s">
        <v>141</v>
      </c>
      <c r="C1767" t="s">
        <v>141</v>
      </c>
      <c r="D1767" t="s">
        <v>37</v>
      </c>
      <c r="E1767" t="s">
        <v>38</v>
      </c>
      <c r="F1767" t="str">
        <f>"0001844"</f>
        <v>0001844</v>
      </c>
      <c r="G1767">
        <v>1</v>
      </c>
      <c r="H1767" t="str">
        <f>"00000000"</f>
        <v>00000000</v>
      </c>
      <c r="I1767" t="s">
        <v>39</v>
      </c>
      <c r="J1767"/>
      <c r="K1767">
        <v>355.93</v>
      </c>
      <c r="L1767">
        <v>0.0</v>
      </c>
      <c r="M1767"/>
      <c r="N1767"/>
      <c r="O1767">
        <v>64.07</v>
      </c>
      <c r="P1767">
        <v>0.0</v>
      </c>
      <c r="Q1767">
        <v>420.0</v>
      </c>
      <c r="R1767"/>
      <c r="S1767"/>
      <c r="T1767"/>
      <c r="U1767"/>
      <c r="V1767"/>
      <c r="W1767">
        <v>18</v>
      </c>
    </row>
    <row r="1768" spans="1:23">
      <c r="A1768"/>
      <c r="B1768" t="s">
        <v>141</v>
      </c>
      <c r="C1768" t="s">
        <v>141</v>
      </c>
      <c r="D1768" t="s">
        <v>37</v>
      </c>
      <c r="E1768" t="s">
        <v>38</v>
      </c>
      <c r="F1768" t="str">
        <f>"0001845"</f>
        <v>0001845</v>
      </c>
      <c r="G1768">
        <v>1</v>
      </c>
      <c r="H1768" t="str">
        <f>"00000000"</f>
        <v>00000000</v>
      </c>
      <c r="I1768" t="s">
        <v>39</v>
      </c>
      <c r="J1768"/>
      <c r="K1768">
        <v>355.93</v>
      </c>
      <c r="L1768">
        <v>0.0</v>
      </c>
      <c r="M1768"/>
      <c r="N1768"/>
      <c r="O1768">
        <v>64.07</v>
      </c>
      <c r="P1768">
        <v>0.0</v>
      </c>
      <c r="Q1768">
        <v>420.0</v>
      </c>
      <c r="R1768"/>
      <c r="S1768"/>
      <c r="T1768"/>
      <c r="U1768"/>
      <c r="V1768"/>
      <c r="W1768">
        <v>18</v>
      </c>
    </row>
    <row r="1769" spans="1:23">
      <c r="A1769"/>
      <c r="B1769" t="s">
        <v>141</v>
      </c>
      <c r="C1769" t="s">
        <v>141</v>
      </c>
      <c r="D1769" t="s">
        <v>37</v>
      </c>
      <c r="E1769" t="s">
        <v>38</v>
      </c>
      <c r="F1769" t="str">
        <f>"0001846"</f>
        <v>0001846</v>
      </c>
      <c r="G1769">
        <v>1</v>
      </c>
      <c r="H1769" t="str">
        <f>"00000000"</f>
        <v>00000000</v>
      </c>
      <c r="I1769" t="s">
        <v>39</v>
      </c>
      <c r="J1769"/>
      <c r="K1769">
        <v>237.29</v>
      </c>
      <c r="L1769">
        <v>0.0</v>
      </c>
      <c r="M1769"/>
      <c r="N1769"/>
      <c r="O1769">
        <v>42.71</v>
      </c>
      <c r="P1769">
        <v>0.0</v>
      </c>
      <c r="Q1769">
        <v>280.0</v>
      </c>
      <c r="R1769"/>
      <c r="S1769"/>
      <c r="T1769"/>
      <c r="U1769"/>
      <c r="V1769"/>
      <c r="W1769">
        <v>18</v>
      </c>
    </row>
    <row r="1770" spans="1:23">
      <c r="A1770"/>
      <c r="B1770" t="s">
        <v>141</v>
      </c>
      <c r="C1770" t="s">
        <v>141</v>
      </c>
      <c r="D1770" t="s">
        <v>37</v>
      </c>
      <c r="E1770" t="s">
        <v>38</v>
      </c>
      <c r="F1770" t="str">
        <f>"0001847"</f>
        <v>0001847</v>
      </c>
      <c r="G1770">
        <v>1</v>
      </c>
      <c r="H1770" t="str">
        <f>"00000000"</f>
        <v>00000000</v>
      </c>
      <c r="I1770" t="s">
        <v>39</v>
      </c>
      <c r="J1770"/>
      <c r="K1770">
        <v>8.47</v>
      </c>
      <c r="L1770">
        <v>0.0</v>
      </c>
      <c r="M1770"/>
      <c r="N1770"/>
      <c r="O1770">
        <v>1.53</v>
      </c>
      <c r="P1770">
        <v>0.0</v>
      </c>
      <c r="Q1770">
        <v>10.0</v>
      </c>
      <c r="R1770"/>
      <c r="S1770"/>
      <c r="T1770"/>
      <c r="U1770"/>
      <c r="V1770"/>
      <c r="W1770">
        <v>18</v>
      </c>
    </row>
    <row r="1771" spans="1:23">
      <c r="A1771"/>
      <c r="B1771" t="s">
        <v>141</v>
      </c>
      <c r="C1771" t="s">
        <v>141</v>
      </c>
      <c r="D1771" t="s">
        <v>37</v>
      </c>
      <c r="E1771" t="s">
        <v>38</v>
      </c>
      <c r="F1771" t="str">
        <f>"0001848"</f>
        <v>0001848</v>
      </c>
      <c r="G1771">
        <v>1</v>
      </c>
      <c r="H1771" t="str">
        <f>"00000000"</f>
        <v>00000000</v>
      </c>
      <c r="I1771" t="s">
        <v>39</v>
      </c>
      <c r="J1771"/>
      <c r="K1771">
        <v>406.78</v>
      </c>
      <c r="L1771">
        <v>0.0</v>
      </c>
      <c r="M1771"/>
      <c r="N1771"/>
      <c r="O1771">
        <v>73.22</v>
      </c>
      <c r="P1771">
        <v>0.0</v>
      </c>
      <c r="Q1771">
        <v>480.0</v>
      </c>
      <c r="R1771"/>
      <c r="S1771"/>
      <c r="T1771"/>
      <c r="U1771"/>
      <c r="V1771"/>
      <c r="W1771">
        <v>18</v>
      </c>
    </row>
    <row r="1772" spans="1:23">
      <c r="A1772"/>
      <c r="B1772" t="s">
        <v>141</v>
      </c>
      <c r="C1772" t="s">
        <v>141</v>
      </c>
      <c r="D1772" t="s">
        <v>37</v>
      </c>
      <c r="E1772" t="s">
        <v>38</v>
      </c>
      <c r="F1772" t="str">
        <f>"0001849"</f>
        <v>0001849</v>
      </c>
      <c r="G1772">
        <v>1</v>
      </c>
      <c r="H1772" t="str">
        <f>"00000000"</f>
        <v>00000000</v>
      </c>
      <c r="I1772" t="s">
        <v>39</v>
      </c>
      <c r="J1772"/>
      <c r="K1772">
        <v>406.78</v>
      </c>
      <c r="L1772">
        <v>0.0</v>
      </c>
      <c r="M1772"/>
      <c r="N1772"/>
      <c r="O1772">
        <v>73.22</v>
      </c>
      <c r="P1772">
        <v>0.0</v>
      </c>
      <c r="Q1772">
        <v>480.0</v>
      </c>
      <c r="R1772"/>
      <c r="S1772"/>
      <c r="T1772"/>
      <c r="U1772"/>
      <c r="V1772"/>
      <c r="W1772">
        <v>18</v>
      </c>
    </row>
    <row r="1773" spans="1:23">
      <c r="A1773"/>
      <c r="B1773" t="s">
        <v>141</v>
      </c>
      <c r="C1773" t="s">
        <v>141</v>
      </c>
      <c r="D1773" t="s">
        <v>37</v>
      </c>
      <c r="E1773" t="s">
        <v>38</v>
      </c>
      <c r="F1773" t="str">
        <f>"0001850"</f>
        <v>0001850</v>
      </c>
      <c r="G1773">
        <v>1</v>
      </c>
      <c r="H1773" t="str">
        <f>"00000000"</f>
        <v>00000000</v>
      </c>
      <c r="I1773" t="s">
        <v>39</v>
      </c>
      <c r="J1773"/>
      <c r="K1773">
        <v>444.92</v>
      </c>
      <c r="L1773">
        <v>0.0</v>
      </c>
      <c r="M1773"/>
      <c r="N1773"/>
      <c r="O1773">
        <v>80.08</v>
      </c>
      <c r="P1773">
        <v>0.0</v>
      </c>
      <c r="Q1773">
        <v>525.0</v>
      </c>
      <c r="R1773"/>
      <c r="S1773"/>
      <c r="T1773"/>
      <c r="U1773"/>
      <c r="V1773"/>
      <c r="W1773">
        <v>18</v>
      </c>
    </row>
    <row r="1774" spans="1:23">
      <c r="A1774"/>
      <c r="B1774" t="s">
        <v>141</v>
      </c>
      <c r="C1774" t="s">
        <v>141</v>
      </c>
      <c r="D1774" t="s">
        <v>37</v>
      </c>
      <c r="E1774" t="s">
        <v>38</v>
      </c>
      <c r="F1774" t="str">
        <f>"0001851"</f>
        <v>0001851</v>
      </c>
      <c r="G1774">
        <v>1</v>
      </c>
      <c r="H1774" t="str">
        <f>"00000000"</f>
        <v>00000000</v>
      </c>
      <c r="I1774" t="s">
        <v>39</v>
      </c>
      <c r="J1774"/>
      <c r="K1774">
        <v>381.36</v>
      </c>
      <c r="L1774">
        <v>0.0</v>
      </c>
      <c r="M1774"/>
      <c r="N1774"/>
      <c r="O1774">
        <v>68.64</v>
      </c>
      <c r="P1774">
        <v>0.0</v>
      </c>
      <c r="Q1774">
        <v>450.0</v>
      </c>
      <c r="R1774"/>
      <c r="S1774"/>
      <c r="T1774"/>
      <c r="U1774"/>
      <c r="V1774"/>
      <c r="W1774">
        <v>18</v>
      </c>
    </row>
    <row r="1775" spans="1:23">
      <c r="A1775"/>
      <c r="B1775" t="s">
        <v>141</v>
      </c>
      <c r="C1775" t="s">
        <v>141</v>
      </c>
      <c r="D1775" t="s">
        <v>37</v>
      </c>
      <c r="E1775" t="s">
        <v>38</v>
      </c>
      <c r="F1775" t="str">
        <f>"0001852"</f>
        <v>0001852</v>
      </c>
      <c r="G1775">
        <v>1</v>
      </c>
      <c r="H1775" t="str">
        <f>"00000000"</f>
        <v>00000000</v>
      </c>
      <c r="I1775" t="s">
        <v>39</v>
      </c>
      <c r="J1775"/>
      <c r="K1775">
        <v>305.08</v>
      </c>
      <c r="L1775">
        <v>0.0</v>
      </c>
      <c r="M1775"/>
      <c r="N1775"/>
      <c r="O1775">
        <v>54.92</v>
      </c>
      <c r="P1775">
        <v>0.0</v>
      </c>
      <c r="Q1775">
        <v>360.0</v>
      </c>
      <c r="R1775"/>
      <c r="S1775"/>
      <c r="T1775"/>
      <c r="U1775"/>
      <c r="V1775"/>
      <c r="W1775">
        <v>18</v>
      </c>
    </row>
    <row r="1776" spans="1:23">
      <c r="A1776"/>
      <c r="B1776" t="s">
        <v>141</v>
      </c>
      <c r="C1776" t="s">
        <v>141</v>
      </c>
      <c r="D1776" t="s">
        <v>37</v>
      </c>
      <c r="E1776" t="s">
        <v>38</v>
      </c>
      <c r="F1776" t="str">
        <f>"0001853"</f>
        <v>0001853</v>
      </c>
      <c r="G1776">
        <v>1</v>
      </c>
      <c r="H1776" t="str">
        <f>"00000000"</f>
        <v>00000000</v>
      </c>
      <c r="I1776" t="s">
        <v>39</v>
      </c>
      <c r="J1776"/>
      <c r="K1776">
        <v>457.63</v>
      </c>
      <c r="L1776">
        <v>0.0</v>
      </c>
      <c r="M1776"/>
      <c r="N1776"/>
      <c r="O1776">
        <v>82.37</v>
      </c>
      <c r="P1776">
        <v>0.0</v>
      </c>
      <c r="Q1776">
        <v>540.0</v>
      </c>
      <c r="R1776"/>
      <c r="S1776"/>
      <c r="T1776"/>
      <c r="U1776"/>
      <c r="V1776"/>
      <c r="W1776">
        <v>18</v>
      </c>
    </row>
    <row r="1777" spans="1:23">
      <c r="A1777"/>
      <c r="B1777" t="s">
        <v>141</v>
      </c>
      <c r="C1777" t="s">
        <v>141</v>
      </c>
      <c r="D1777" t="s">
        <v>37</v>
      </c>
      <c r="E1777" t="s">
        <v>38</v>
      </c>
      <c r="F1777" t="str">
        <f>"0001854"</f>
        <v>0001854</v>
      </c>
      <c r="G1777">
        <v>1</v>
      </c>
      <c r="H1777" t="str">
        <f>"00000000"</f>
        <v>00000000</v>
      </c>
      <c r="I1777" t="s">
        <v>39</v>
      </c>
      <c r="J1777"/>
      <c r="K1777">
        <v>118.64</v>
      </c>
      <c r="L1777">
        <v>0.0</v>
      </c>
      <c r="M1777"/>
      <c r="N1777"/>
      <c r="O1777">
        <v>21.36</v>
      </c>
      <c r="P1777">
        <v>0.0</v>
      </c>
      <c r="Q1777">
        <v>140.0</v>
      </c>
      <c r="R1777"/>
      <c r="S1777"/>
      <c r="T1777"/>
      <c r="U1777"/>
      <c r="V1777"/>
      <c r="W1777">
        <v>18</v>
      </c>
    </row>
    <row r="1778" spans="1:23">
      <c r="A1778"/>
      <c r="B1778" t="s">
        <v>141</v>
      </c>
      <c r="C1778" t="s">
        <v>141</v>
      </c>
      <c r="D1778" t="s">
        <v>37</v>
      </c>
      <c r="E1778" t="s">
        <v>38</v>
      </c>
      <c r="F1778" t="str">
        <f>"0001855"</f>
        <v>0001855</v>
      </c>
      <c r="G1778">
        <v>1</v>
      </c>
      <c r="H1778" t="str">
        <f>"00000000"</f>
        <v>00000000</v>
      </c>
      <c r="I1778" t="s">
        <v>39</v>
      </c>
      <c r="J1778"/>
      <c r="K1778">
        <v>169.49</v>
      </c>
      <c r="L1778">
        <v>0.0</v>
      </c>
      <c r="M1778"/>
      <c r="N1778"/>
      <c r="O1778">
        <v>30.51</v>
      </c>
      <c r="P1778">
        <v>0.0</v>
      </c>
      <c r="Q1778">
        <v>200.0</v>
      </c>
      <c r="R1778"/>
      <c r="S1778"/>
      <c r="T1778"/>
      <c r="U1778"/>
      <c r="V1778"/>
      <c r="W1778">
        <v>18</v>
      </c>
    </row>
    <row r="1779" spans="1:23">
      <c r="A1779"/>
      <c r="B1779" t="s">
        <v>141</v>
      </c>
      <c r="C1779" t="s">
        <v>141</v>
      </c>
      <c r="D1779" t="s">
        <v>37</v>
      </c>
      <c r="E1779" t="s">
        <v>38</v>
      </c>
      <c r="F1779" t="str">
        <f>"0001856"</f>
        <v>0001856</v>
      </c>
      <c r="G1779">
        <v>1</v>
      </c>
      <c r="H1779" t="str">
        <f>"00000000"</f>
        <v>00000000</v>
      </c>
      <c r="I1779" t="s">
        <v>39</v>
      </c>
      <c r="J1779"/>
      <c r="K1779">
        <v>406.78</v>
      </c>
      <c r="L1779">
        <v>0.0</v>
      </c>
      <c r="M1779"/>
      <c r="N1779"/>
      <c r="O1779">
        <v>73.22</v>
      </c>
      <c r="P1779">
        <v>0.0</v>
      </c>
      <c r="Q1779">
        <v>480.0</v>
      </c>
      <c r="R1779"/>
      <c r="S1779"/>
      <c r="T1779"/>
      <c r="U1779"/>
      <c r="V1779"/>
      <c r="W1779">
        <v>18</v>
      </c>
    </row>
    <row r="1780" spans="1:23">
      <c r="A1780"/>
      <c r="B1780" t="s">
        <v>141</v>
      </c>
      <c r="C1780" t="s">
        <v>141</v>
      </c>
      <c r="D1780" t="s">
        <v>37</v>
      </c>
      <c r="E1780" t="s">
        <v>38</v>
      </c>
      <c r="F1780" t="str">
        <f>"0001857"</f>
        <v>0001857</v>
      </c>
      <c r="G1780">
        <v>1</v>
      </c>
      <c r="H1780" t="str">
        <f>"00000000"</f>
        <v>00000000</v>
      </c>
      <c r="I1780" t="s">
        <v>39</v>
      </c>
      <c r="J1780"/>
      <c r="K1780">
        <v>372.88</v>
      </c>
      <c r="L1780">
        <v>0.0</v>
      </c>
      <c r="M1780"/>
      <c r="N1780"/>
      <c r="O1780">
        <v>67.12</v>
      </c>
      <c r="P1780">
        <v>0.0</v>
      </c>
      <c r="Q1780">
        <v>440.0</v>
      </c>
      <c r="R1780"/>
      <c r="S1780"/>
      <c r="T1780"/>
      <c r="U1780"/>
      <c r="V1780"/>
      <c r="W1780">
        <v>18</v>
      </c>
    </row>
    <row r="1781" spans="1:23">
      <c r="A1781"/>
      <c r="B1781" t="s">
        <v>142</v>
      </c>
      <c r="C1781" t="s">
        <v>142</v>
      </c>
      <c r="D1781" t="s">
        <v>37</v>
      </c>
      <c r="E1781" t="s">
        <v>38</v>
      </c>
      <c r="F1781" t="str">
        <f>"0001858"</f>
        <v>0001858</v>
      </c>
      <c r="G1781">
        <v>1</v>
      </c>
      <c r="H1781" t="str">
        <f>"00000000"</f>
        <v>00000000</v>
      </c>
      <c r="I1781" t="s">
        <v>39</v>
      </c>
      <c r="J1781"/>
      <c r="K1781">
        <v>474.58</v>
      </c>
      <c r="L1781">
        <v>0.0</v>
      </c>
      <c r="M1781"/>
      <c r="N1781"/>
      <c r="O1781">
        <v>85.42</v>
      </c>
      <c r="P1781">
        <v>0.0</v>
      </c>
      <c r="Q1781">
        <v>560.0</v>
      </c>
      <c r="R1781"/>
      <c r="S1781"/>
      <c r="T1781"/>
      <c r="U1781"/>
      <c r="V1781"/>
      <c r="W1781">
        <v>18</v>
      </c>
    </row>
    <row r="1782" spans="1:23">
      <c r="A1782"/>
      <c r="B1782" t="s">
        <v>142</v>
      </c>
      <c r="C1782" t="s">
        <v>142</v>
      </c>
      <c r="D1782" t="s">
        <v>37</v>
      </c>
      <c r="E1782" t="s">
        <v>38</v>
      </c>
      <c r="F1782" t="str">
        <f>"0001859"</f>
        <v>0001859</v>
      </c>
      <c r="G1782">
        <v>1</v>
      </c>
      <c r="H1782" t="str">
        <f>"00000000"</f>
        <v>00000000</v>
      </c>
      <c r="I1782" t="s">
        <v>39</v>
      </c>
      <c r="J1782"/>
      <c r="K1782">
        <v>305.08</v>
      </c>
      <c r="L1782">
        <v>0.0</v>
      </c>
      <c r="M1782"/>
      <c r="N1782"/>
      <c r="O1782">
        <v>54.92</v>
      </c>
      <c r="P1782">
        <v>0.0</v>
      </c>
      <c r="Q1782">
        <v>360.0</v>
      </c>
      <c r="R1782"/>
      <c r="S1782"/>
      <c r="T1782"/>
      <c r="U1782"/>
      <c r="V1782"/>
      <c r="W1782">
        <v>18</v>
      </c>
    </row>
    <row r="1783" spans="1:23">
      <c r="A1783"/>
      <c r="B1783" t="s">
        <v>142</v>
      </c>
      <c r="C1783" t="s">
        <v>142</v>
      </c>
      <c r="D1783" t="s">
        <v>37</v>
      </c>
      <c r="E1783" t="s">
        <v>38</v>
      </c>
      <c r="F1783" t="str">
        <f>"0001860"</f>
        <v>0001860</v>
      </c>
      <c r="G1783">
        <v>1</v>
      </c>
      <c r="H1783" t="str">
        <f>"00000000"</f>
        <v>00000000</v>
      </c>
      <c r="I1783" t="s">
        <v>39</v>
      </c>
      <c r="J1783"/>
      <c r="K1783">
        <v>271.19</v>
      </c>
      <c r="L1783">
        <v>0.0</v>
      </c>
      <c r="M1783"/>
      <c r="N1783"/>
      <c r="O1783">
        <v>48.81</v>
      </c>
      <c r="P1783">
        <v>0.0</v>
      </c>
      <c r="Q1783">
        <v>320.0</v>
      </c>
      <c r="R1783"/>
      <c r="S1783"/>
      <c r="T1783"/>
      <c r="U1783"/>
      <c r="V1783"/>
      <c r="W1783">
        <v>18</v>
      </c>
    </row>
    <row r="1784" spans="1:23">
      <c r="A1784"/>
      <c r="B1784" t="s">
        <v>142</v>
      </c>
      <c r="C1784" t="s">
        <v>142</v>
      </c>
      <c r="D1784" t="s">
        <v>37</v>
      </c>
      <c r="E1784" t="s">
        <v>38</v>
      </c>
      <c r="F1784" t="str">
        <f>"0001861"</f>
        <v>0001861</v>
      </c>
      <c r="G1784">
        <v>1</v>
      </c>
      <c r="H1784" t="str">
        <f>"00000000"</f>
        <v>00000000</v>
      </c>
      <c r="I1784" t="s">
        <v>39</v>
      </c>
      <c r="J1784"/>
      <c r="K1784">
        <v>279.66</v>
      </c>
      <c r="L1784">
        <v>0.0</v>
      </c>
      <c r="M1784"/>
      <c r="N1784"/>
      <c r="O1784">
        <v>50.34</v>
      </c>
      <c r="P1784">
        <v>0.0</v>
      </c>
      <c r="Q1784">
        <v>330.0</v>
      </c>
      <c r="R1784"/>
      <c r="S1784"/>
      <c r="T1784"/>
      <c r="U1784"/>
      <c r="V1784"/>
      <c r="W1784">
        <v>18</v>
      </c>
    </row>
    <row r="1785" spans="1:23">
      <c r="A1785"/>
      <c r="B1785" t="s">
        <v>142</v>
      </c>
      <c r="C1785" t="s">
        <v>142</v>
      </c>
      <c r="D1785" t="s">
        <v>37</v>
      </c>
      <c r="E1785" t="s">
        <v>38</v>
      </c>
      <c r="F1785" t="str">
        <f>"0001862"</f>
        <v>0001862</v>
      </c>
      <c r="G1785">
        <v>1</v>
      </c>
      <c r="H1785" t="str">
        <f>"00000000"</f>
        <v>00000000</v>
      </c>
      <c r="I1785" t="s">
        <v>39</v>
      </c>
      <c r="J1785"/>
      <c r="K1785">
        <v>406.78</v>
      </c>
      <c r="L1785">
        <v>0.0</v>
      </c>
      <c r="M1785"/>
      <c r="N1785"/>
      <c r="O1785">
        <v>73.22</v>
      </c>
      <c r="P1785">
        <v>0.0</v>
      </c>
      <c r="Q1785">
        <v>480.0</v>
      </c>
      <c r="R1785"/>
      <c r="S1785"/>
      <c r="T1785"/>
      <c r="U1785"/>
      <c r="V1785"/>
      <c r="W1785">
        <v>18</v>
      </c>
    </row>
    <row r="1786" spans="1:23">
      <c r="A1786"/>
      <c r="B1786" t="s">
        <v>142</v>
      </c>
      <c r="C1786" t="s">
        <v>142</v>
      </c>
      <c r="D1786" t="s">
        <v>37</v>
      </c>
      <c r="E1786" t="s">
        <v>38</v>
      </c>
      <c r="F1786" t="str">
        <f>"0001863"</f>
        <v>0001863</v>
      </c>
      <c r="G1786">
        <v>1</v>
      </c>
      <c r="H1786" t="str">
        <f>"00000000"</f>
        <v>00000000</v>
      </c>
      <c r="I1786" t="s">
        <v>39</v>
      </c>
      <c r="J1786"/>
      <c r="K1786">
        <v>237.29</v>
      </c>
      <c r="L1786">
        <v>0.0</v>
      </c>
      <c r="M1786"/>
      <c r="N1786"/>
      <c r="O1786">
        <v>42.71</v>
      </c>
      <c r="P1786">
        <v>0.0</v>
      </c>
      <c r="Q1786">
        <v>280.0</v>
      </c>
      <c r="R1786"/>
      <c r="S1786"/>
      <c r="T1786"/>
      <c r="U1786"/>
      <c r="V1786"/>
      <c r="W1786">
        <v>18</v>
      </c>
    </row>
    <row r="1787" spans="1:23">
      <c r="A1787"/>
      <c r="B1787" t="s">
        <v>142</v>
      </c>
      <c r="C1787" t="s">
        <v>142</v>
      </c>
      <c r="D1787" t="s">
        <v>37</v>
      </c>
      <c r="E1787" t="s">
        <v>38</v>
      </c>
      <c r="F1787" t="str">
        <f>"0001864"</f>
        <v>0001864</v>
      </c>
      <c r="G1787">
        <v>1</v>
      </c>
      <c r="H1787" t="str">
        <f>"00000000"</f>
        <v>00000000</v>
      </c>
      <c r="I1787" t="s">
        <v>39</v>
      </c>
      <c r="J1787"/>
      <c r="K1787">
        <v>305.08</v>
      </c>
      <c r="L1787">
        <v>0.0</v>
      </c>
      <c r="M1787"/>
      <c r="N1787"/>
      <c r="O1787">
        <v>54.92</v>
      </c>
      <c r="P1787">
        <v>0.0</v>
      </c>
      <c r="Q1787">
        <v>360.0</v>
      </c>
      <c r="R1787"/>
      <c r="S1787"/>
      <c r="T1787"/>
      <c r="U1787"/>
      <c r="V1787"/>
      <c r="W1787">
        <v>18</v>
      </c>
    </row>
    <row r="1788" spans="1:23">
      <c r="A1788"/>
      <c r="B1788" t="s">
        <v>142</v>
      </c>
      <c r="C1788" t="s">
        <v>142</v>
      </c>
      <c r="D1788" t="s">
        <v>37</v>
      </c>
      <c r="E1788" t="s">
        <v>38</v>
      </c>
      <c r="F1788" t="str">
        <f>"0001865"</f>
        <v>0001865</v>
      </c>
      <c r="G1788">
        <v>1</v>
      </c>
      <c r="H1788" t="str">
        <f>"00000000"</f>
        <v>00000000</v>
      </c>
      <c r="I1788" t="s">
        <v>39</v>
      </c>
      <c r="J1788"/>
      <c r="K1788">
        <v>474.58</v>
      </c>
      <c r="L1788">
        <v>0.0</v>
      </c>
      <c r="M1788"/>
      <c r="N1788"/>
      <c r="O1788">
        <v>85.42</v>
      </c>
      <c r="P1788">
        <v>0.0</v>
      </c>
      <c r="Q1788">
        <v>560.0</v>
      </c>
      <c r="R1788"/>
      <c r="S1788"/>
      <c r="T1788"/>
      <c r="U1788"/>
      <c r="V1788"/>
      <c r="W1788">
        <v>18</v>
      </c>
    </row>
    <row r="1789" spans="1:23">
      <c r="A1789"/>
      <c r="B1789" t="s">
        <v>142</v>
      </c>
      <c r="C1789" t="s">
        <v>142</v>
      </c>
      <c r="D1789" t="s">
        <v>37</v>
      </c>
      <c r="E1789" t="s">
        <v>38</v>
      </c>
      <c r="F1789" t="str">
        <f>"0001866"</f>
        <v>0001866</v>
      </c>
      <c r="G1789">
        <v>1</v>
      </c>
      <c r="H1789" t="str">
        <f>"00000000"</f>
        <v>00000000</v>
      </c>
      <c r="I1789" t="s">
        <v>39</v>
      </c>
      <c r="J1789"/>
      <c r="K1789">
        <v>169.49</v>
      </c>
      <c r="L1789">
        <v>0.0</v>
      </c>
      <c r="M1789"/>
      <c r="N1789"/>
      <c r="O1789">
        <v>30.51</v>
      </c>
      <c r="P1789">
        <v>0.0</v>
      </c>
      <c r="Q1789">
        <v>200.0</v>
      </c>
      <c r="R1789"/>
      <c r="S1789"/>
      <c r="T1789"/>
      <c r="U1789"/>
      <c r="V1789"/>
      <c r="W1789">
        <v>18</v>
      </c>
    </row>
    <row r="1790" spans="1:23">
      <c r="A1790"/>
      <c r="B1790" t="s">
        <v>142</v>
      </c>
      <c r="C1790" t="s">
        <v>142</v>
      </c>
      <c r="D1790" t="s">
        <v>37</v>
      </c>
      <c r="E1790" t="s">
        <v>38</v>
      </c>
      <c r="F1790" t="str">
        <f>"0001867"</f>
        <v>0001867</v>
      </c>
      <c r="G1790">
        <v>1</v>
      </c>
      <c r="H1790" t="str">
        <f>"00000000"</f>
        <v>00000000</v>
      </c>
      <c r="I1790" t="s">
        <v>39</v>
      </c>
      <c r="J1790"/>
      <c r="K1790">
        <v>332.2</v>
      </c>
      <c r="L1790">
        <v>0.0</v>
      </c>
      <c r="M1790"/>
      <c r="N1790"/>
      <c r="O1790">
        <v>59.8</v>
      </c>
      <c r="P1790">
        <v>0.0</v>
      </c>
      <c r="Q1790">
        <v>392.0</v>
      </c>
      <c r="R1790"/>
      <c r="S1790"/>
      <c r="T1790"/>
      <c r="U1790"/>
      <c r="V1790"/>
      <c r="W1790">
        <v>18</v>
      </c>
    </row>
    <row r="1791" spans="1:23">
      <c r="A1791"/>
      <c r="B1791" t="s">
        <v>142</v>
      </c>
      <c r="C1791" t="s">
        <v>142</v>
      </c>
      <c r="D1791" t="s">
        <v>37</v>
      </c>
      <c r="E1791" t="s">
        <v>38</v>
      </c>
      <c r="F1791" t="str">
        <f>"0001868"</f>
        <v>0001868</v>
      </c>
      <c r="G1791">
        <v>1</v>
      </c>
      <c r="H1791" t="str">
        <f>"00000000"</f>
        <v>00000000</v>
      </c>
      <c r="I1791" t="s">
        <v>39</v>
      </c>
      <c r="J1791"/>
      <c r="K1791">
        <v>372.88</v>
      </c>
      <c r="L1791">
        <v>0.0</v>
      </c>
      <c r="M1791"/>
      <c r="N1791"/>
      <c r="O1791">
        <v>67.12</v>
      </c>
      <c r="P1791">
        <v>0.0</v>
      </c>
      <c r="Q1791">
        <v>440.0</v>
      </c>
      <c r="R1791"/>
      <c r="S1791"/>
      <c r="T1791"/>
      <c r="U1791"/>
      <c r="V1791"/>
      <c r="W1791">
        <v>18</v>
      </c>
    </row>
    <row r="1792" spans="1:23">
      <c r="A1792"/>
      <c r="B1792" t="s">
        <v>142</v>
      </c>
      <c r="C1792" t="s">
        <v>142</v>
      </c>
      <c r="D1792" t="s">
        <v>37</v>
      </c>
      <c r="E1792" t="s">
        <v>38</v>
      </c>
      <c r="F1792" t="str">
        <f>"0001869"</f>
        <v>0001869</v>
      </c>
      <c r="G1792">
        <v>1</v>
      </c>
      <c r="H1792" t="str">
        <f>"00000000"</f>
        <v>00000000</v>
      </c>
      <c r="I1792" t="s">
        <v>39</v>
      </c>
      <c r="J1792"/>
      <c r="K1792">
        <v>338.98</v>
      </c>
      <c r="L1792">
        <v>0.0</v>
      </c>
      <c r="M1792"/>
      <c r="N1792"/>
      <c r="O1792">
        <v>61.02</v>
      </c>
      <c r="P1792">
        <v>0.0</v>
      </c>
      <c r="Q1792">
        <v>400.0</v>
      </c>
      <c r="R1792"/>
      <c r="S1792"/>
      <c r="T1792"/>
      <c r="U1792"/>
      <c r="V1792"/>
      <c r="W1792">
        <v>18</v>
      </c>
    </row>
    <row r="1793" spans="1:23">
      <c r="A1793"/>
      <c r="B1793" t="s">
        <v>142</v>
      </c>
      <c r="C1793" t="s">
        <v>142</v>
      </c>
      <c r="D1793" t="s">
        <v>37</v>
      </c>
      <c r="E1793" t="s">
        <v>38</v>
      </c>
      <c r="F1793" t="str">
        <f>"0001870"</f>
        <v>0001870</v>
      </c>
      <c r="G1793">
        <v>1</v>
      </c>
      <c r="H1793" t="str">
        <f>"00000000"</f>
        <v>00000000</v>
      </c>
      <c r="I1793" t="s">
        <v>39</v>
      </c>
      <c r="J1793"/>
      <c r="K1793">
        <v>244.07</v>
      </c>
      <c r="L1793">
        <v>0.0</v>
      </c>
      <c r="M1793"/>
      <c r="N1793"/>
      <c r="O1793">
        <v>43.93</v>
      </c>
      <c r="P1793">
        <v>0.0</v>
      </c>
      <c r="Q1793">
        <v>288.0</v>
      </c>
      <c r="R1793"/>
      <c r="S1793"/>
      <c r="T1793"/>
      <c r="U1793"/>
      <c r="V1793"/>
      <c r="W1793">
        <v>18</v>
      </c>
    </row>
    <row r="1794" spans="1:23">
      <c r="A1794"/>
      <c r="B1794" t="s">
        <v>143</v>
      </c>
      <c r="C1794" t="s">
        <v>143</v>
      </c>
      <c r="D1794" t="s">
        <v>37</v>
      </c>
      <c r="E1794" t="s">
        <v>38</v>
      </c>
      <c r="F1794" t="str">
        <f>"0001871"</f>
        <v>0001871</v>
      </c>
      <c r="G1794">
        <v>1</v>
      </c>
      <c r="H1794" t="str">
        <f>"00000000"</f>
        <v>00000000</v>
      </c>
      <c r="I1794" t="s">
        <v>39</v>
      </c>
      <c r="J1794"/>
      <c r="K1794">
        <v>381.36</v>
      </c>
      <c r="L1794">
        <v>0.0</v>
      </c>
      <c r="M1794"/>
      <c r="N1794"/>
      <c r="O1794">
        <v>68.64</v>
      </c>
      <c r="P1794">
        <v>0.0</v>
      </c>
      <c r="Q1794">
        <v>450.0</v>
      </c>
      <c r="R1794"/>
      <c r="S1794"/>
      <c r="T1794"/>
      <c r="U1794"/>
      <c r="V1794"/>
      <c r="W1794">
        <v>18</v>
      </c>
    </row>
    <row r="1795" spans="1:23">
      <c r="A1795"/>
      <c r="B1795" t="s">
        <v>143</v>
      </c>
      <c r="C1795" t="s">
        <v>143</v>
      </c>
      <c r="D1795" t="s">
        <v>37</v>
      </c>
      <c r="E1795" t="s">
        <v>38</v>
      </c>
      <c r="F1795" t="str">
        <f>"0001872"</f>
        <v>0001872</v>
      </c>
      <c r="G1795">
        <v>1</v>
      </c>
      <c r="H1795" t="str">
        <f>"00000000"</f>
        <v>00000000</v>
      </c>
      <c r="I1795" t="s">
        <v>39</v>
      </c>
      <c r="J1795"/>
      <c r="K1795">
        <v>406.78</v>
      </c>
      <c r="L1795">
        <v>0.0</v>
      </c>
      <c r="M1795"/>
      <c r="N1795"/>
      <c r="O1795">
        <v>73.22</v>
      </c>
      <c r="P1795">
        <v>0.0</v>
      </c>
      <c r="Q1795">
        <v>480.0</v>
      </c>
      <c r="R1795"/>
      <c r="S1795"/>
      <c r="T1795"/>
      <c r="U1795"/>
      <c r="V1795"/>
      <c r="W1795">
        <v>18</v>
      </c>
    </row>
    <row r="1796" spans="1:23">
      <c r="A1796"/>
      <c r="B1796" t="s">
        <v>143</v>
      </c>
      <c r="C1796" t="s">
        <v>143</v>
      </c>
      <c r="D1796" t="s">
        <v>37</v>
      </c>
      <c r="E1796" t="s">
        <v>38</v>
      </c>
      <c r="F1796" t="str">
        <f>"0001873"</f>
        <v>0001873</v>
      </c>
      <c r="G1796">
        <v>1</v>
      </c>
      <c r="H1796" t="str">
        <f>"00000000"</f>
        <v>00000000</v>
      </c>
      <c r="I1796" t="s">
        <v>39</v>
      </c>
      <c r="J1796"/>
      <c r="K1796">
        <v>372.88</v>
      </c>
      <c r="L1796">
        <v>0.0</v>
      </c>
      <c r="M1796"/>
      <c r="N1796"/>
      <c r="O1796">
        <v>67.12</v>
      </c>
      <c r="P1796">
        <v>0.0</v>
      </c>
      <c r="Q1796">
        <v>440.0</v>
      </c>
      <c r="R1796"/>
      <c r="S1796"/>
      <c r="T1796"/>
      <c r="U1796"/>
      <c r="V1796"/>
      <c r="W1796">
        <v>18</v>
      </c>
    </row>
    <row r="1797" spans="1:23">
      <c r="A1797"/>
      <c r="B1797" t="s">
        <v>143</v>
      </c>
      <c r="C1797" t="s">
        <v>143</v>
      </c>
      <c r="D1797" t="s">
        <v>37</v>
      </c>
      <c r="E1797" t="s">
        <v>38</v>
      </c>
      <c r="F1797" t="str">
        <f>"0001874"</f>
        <v>0001874</v>
      </c>
      <c r="G1797">
        <v>1</v>
      </c>
      <c r="H1797" t="str">
        <f>"00000000"</f>
        <v>00000000</v>
      </c>
      <c r="I1797" t="s">
        <v>39</v>
      </c>
      <c r="J1797"/>
      <c r="K1797">
        <v>338.98</v>
      </c>
      <c r="L1797">
        <v>0.0</v>
      </c>
      <c r="M1797"/>
      <c r="N1797"/>
      <c r="O1797">
        <v>61.02</v>
      </c>
      <c r="P1797">
        <v>0.0</v>
      </c>
      <c r="Q1797">
        <v>400.0</v>
      </c>
      <c r="R1797"/>
      <c r="S1797"/>
      <c r="T1797"/>
      <c r="U1797"/>
      <c r="V1797"/>
      <c r="W1797">
        <v>18</v>
      </c>
    </row>
    <row r="1798" spans="1:23">
      <c r="A1798"/>
      <c r="B1798" t="s">
        <v>143</v>
      </c>
      <c r="C1798" t="s">
        <v>143</v>
      </c>
      <c r="D1798" t="s">
        <v>37</v>
      </c>
      <c r="E1798" t="s">
        <v>38</v>
      </c>
      <c r="F1798" t="str">
        <f>"0001875"</f>
        <v>0001875</v>
      </c>
      <c r="G1798">
        <v>1</v>
      </c>
      <c r="H1798" t="str">
        <f>"00000000"</f>
        <v>00000000</v>
      </c>
      <c r="I1798" t="s">
        <v>39</v>
      </c>
      <c r="J1798"/>
      <c r="K1798">
        <v>169.49</v>
      </c>
      <c r="L1798">
        <v>0.0</v>
      </c>
      <c r="M1798"/>
      <c r="N1798"/>
      <c r="O1798">
        <v>30.51</v>
      </c>
      <c r="P1798">
        <v>0.0</v>
      </c>
      <c r="Q1798">
        <v>200.0</v>
      </c>
      <c r="R1798"/>
      <c r="S1798"/>
      <c r="T1798"/>
      <c r="U1798"/>
      <c r="V1798"/>
      <c r="W1798">
        <v>18</v>
      </c>
    </row>
    <row r="1799" spans="1:23">
      <c r="A1799"/>
      <c r="B1799" t="s">
        <v>143</v>
      </c>
      <c r="C1799" t="s">
        <v>143</v>
      </c>
      <c r="D1799" t="s">
        <v>37</v>
      </c>
      <c r="E1799" t="s">
        <v>38</v>
      </c>
      <c r="F1799" t="str">
        <f>"0001876"</f>
        <v>0001876</v>
      </c>
      <c r="G1799">
        <v>1</v>
      </c>
      <c r="H1799" t="str">
        <f>"00000000"</f>
        <v>00000000</v>
      </c>
      <c r="I1799" t="s">
        <v>39</v>
      </c>
      <c r="J1799"/>
      <c r="K1799">
        <v>305.08</v>
      </c>
      <c r="L1799">
        <v>0.0</v>
      </c>
      <c r="M1799"/>
      <c r="N1799"/>
      <c r="O1799">
        <v>54.92</v>
      </c>
      <c r="P1799">
        <v>0.0</v>
      </c>
      <c r="Q1799">
        <v>360.0</v>
      </c>
      <c r="R1799"/>
      <c r="S1799"/>
      <c r="T1799"/>
      <c r="U1799"/>
      <c r="V1799"/>
      <c r="W1799">
        <v>18</v>
      </c>
    </row>
    <row r="1800" spans="1:23">
      <c r="A1800"/>
      <c r="B1800" t="s">
        <v>143</v>
      </c>
      <c r="C1800" t="s">
        <v>143</v>
      </c>
      <c r="D1800" t="s">
        <v>37</v>
      </c>
      <c r="E1800" t="s">
        <v>38</v>
      </c>
      <c r="F1800" t="str">
        <f>"0001877"</f>
        <v>0001877</v>
      </c>
      <c r="G1800">
        <v>1</v>
      </c>
      <c r="H1800" t="str">
        <f>"00000000"</f>
        <v>00000000</v>
      </c>
      <c r="I1800" t="s">
        <v>39</v>
      </c>
      <c r="J1800"/>
      <c r="K1800">
        <v>296.61</v>
      </c>
      <c r="L1800">
        <v>0.0</v>
      </c>
      <c r="M1800"/>
      <c r="N1800"/>
      <c r="O1800">
        <v>53.39</v>
      </c>
      <c r="P1800">
        <v>0.0</v>
      </c>
      <c r="Q1800">
        <v>350.0</v>
      </c>
      <c r="R1800"/>
      <c r="S1800"/>
      <c r="T1800"/>
      <c r="U1800"/>
      <c r="V1800"/>
      <c r="W1800">
        <v>18</v>
      </c>
    </row>
    <row r="1801" spans="1:23">
      <c r="A1801"/>
      <c r="B1801" t="s">
        <v>143</v>
      </c>
      <c r="C1801" t="s">
        <v>143</v>
      </c>
      <c r="D1801" t="s">
        <v>37</v>
      </c>
      <c r="E1801" t="s">
        <v>38</v>
      </c>
      <c r="F1801" t="str">
        <f>"0001878"</f>
        <v>0001878</v>
      </c>
      <c r="G1801">
        <v>1</v>
      </c>
      <c r="H1801" t="str">
        <f>"00000000"</f>
        <v>00000000</v>
      </c>
      <c r="I1801" t="s">
        <v>39</v>
      </c>
      <c r="J1801"/>
      <c r="K1801">
        <v>440.68</v>
      </c>
      <c r="L1801">
        <v>0.0</v>
      </c>
      <c r="M1801"/>
      <c r="N1801"/>
      <c r="O1801">
        <v>79.32</v>
      </c>
      <c r="P1801">
        <v>0.0</v>
      </c>
      <c r="Q1801">
        <v>520.0</v>
      </c>
      <c r="R1801"/>
      <c r="S1801"/>
      <c r="T1801"/>
      <c r="U1801"/>
      <c r="V1801"/>
      <c r="W1801">
        <v>18</v>
      </c>
    </row>
    <row r="1802" spans="1:23">
      <c r="A1802"/>
      <c r="B1802" t="s">
        <v>143</v>
      </c>
      <c r="C1802" t="s">
        <v>143</v>
      </c>
      <c r="D1802" t="s">
        <v>37</v>
      </c>
      <c r="E1802" t="s">
        <v>38</v>
      </c>
      <c r="F1802" t="str">
        <f>"0001879"</f>
        <v>0001879</v>
      </c>
      <c r="G1802">
        <v>1</v>
      </c>
      <c r="H1802" t="str">
        <f>"00000000"</f>
        <v>00000000</v>
      </c>
      <c r="I1802" t="s">
        <v>39</v>
      </c>
      <c r="J1802"/>
      <c r="K1802">
        <v>211.86</v>
      </c>
      <c r="L1802">
        <v>0.0</v>
      </c>
      <c r="M1802"/>
      <c r="N1802"/>
      <c r="O1802">
        <v>38.14</v>
      </c>
      <c r="P1802">
        <v>0.0</v>
      </c>
      <c r="Q1802">
        <v>250.0</v>
      </c>
      <c r="R1802"/>
      <c r="S1802"/>
      <c r="T1802"/>
      <c r="U1802"/>
      <c r="V1802"/>
      <c r="W1802">
        <v>18</v>
      </c>
    </row>
    <row r="1803" spans="1:23">
      <c r="A1803"/>
      <c r="B1803" t="s">
        <v>143</v>
      </c>
      <c r="C1803" t="s">
        <v>143</v>
      </c>
      <c r="D1803" t="s">
        <v>37</v>
      </c>
      <c r="E1803" t="s">
        <v>38</v>
      </c>
      <c r="F1803" t="str">
        <f>"0001880"</f>
        <v>0001880</v>
      </c>
      <c r="G1803">
        <v>1</v>
      </c>
      <c r="H1803" t="str">
        <f>"00000000"</f>
        <v>00000000</v>
      </c>
      <c r="I1803" t="s">
        <v>39</v>
      </c>
      <c r="J1803"/>
      <c r="K1803">
        <v>508.47</v>
      </c>
      <c r="L1803">
        <v>0.0</v>
      </c>
      <c r="M1803"/>
      <c r="N1803"/>
      <c r="O1803">
        <v>91.53</v>
      </c>
      <c r="P1803">
        <v>0.0</v>
      </c>
      <c r="Q1803">
        <v>600.0</v>
      </c>
      <c r="R1803"/>
      <c r="S1803"/>
      <c r="T1803"/>
      <c r="U1803"/>
      <c r="V1803"/>
      <c r="W1803">
        <v>18</v>
      </c>
    </row>
    <row r="1804" spans="1:23">
      <c r="A1804"/>
      <c r="B1804" t="s">
        <v>143</v>
      </c>
      <c r="C1804" t="s">
        <v>143</v>
      </c>
      <c r="D1804" t="s">
        <v>37</v>
      </c>
      <c r="E1804" t="s">
        <v>38</v>
      </c>
      <c r="F1804" t="str">
        <f>"0001881"</f>
        <v>0001881</v>
      </c>
      <c r="G1804">
        <v>1</v>
      </c>
      <c r="H1804" t="str">
        <f>"00000000"</f>
        <v>00000000</v>
      </c>
      <c r="I1804" t="s">
        <v>39</v>
      </c>
      <c r="J1804"/>
      <c r="K1804">
        <v>343.22</v>
      </c>
      <c r="L1804">
        <v>0.0</v>
      </c>
      <c r="M1804"/>
      <c r="N1804"/>
      <c r="O1804">
        <v>61.78</v>
      </c>
      <c r="P1804">
        <v>0.0</v>
      </c>
      <c r="Q1804">
        <v>405.0</v>
      </c>
      <c r="R1804"/>
      <c r="S1804"/>
      <c r="T1804"/>
      <c r="U1804"/>
      <c r="V1804"/>
      <c r="W1804">
        <v>18</v>
      </c>
    </row>
    <row r="1805" spans="1:23">
      <c r="A1805"/>
      <c r="B1805" t="s">
        <v>143</v>
      </c>
      <c r="C1805" t="s">
        <v>143</v>
      </c>
      <c r="D1805" t="s">
        <v>37</v>
      </c>
      <c r="E1805" t="s">
        <v>38</v>
      </c>
      <c r="F1805" t="str">
        <f>"0001882"</f>
        <v>0001882</v>
      </c>
      <c r="G1805">
        <v>1</v>
      </c>
      <c r="H1805" t="str">
        <f>"00000000"</f>
        <v>00000000</v>
      </c>
      <c r="I1805" t="s">
        <v>39</v>
      </c>
      <c r="J1805"/>
      <c r="K1805">
        <v>355.93</v>
      </c>
      <c r="L1805">
        <v>0.0</v>
      </c>
      <c r="M1805"/>
      <c r="N1805"/>
      <c r="O1805">
        <v>64.07</v>
      </c>
      <c r="P1805">
        <v>0.0</v>
      </c>
      <c r="Q1805">
        <v>420.0</v>
      </c>
      <c r="R1805"/>
      <c r="S1805"/>
      <c r="T1805"/>
      <c r="U1805"/>
      <c r="V1805"/>
      <c r="W1805">
        <v>18</v>
      </c>
    </row>
    <row r="1806" spans="1:23">
      <c r="A1806"/>
      <c r="B1806" t="s">
        <v>143</v>
      </c>
      <c r="C1806" t="s">
        <v>143</v>
      </c>
      <c r="D1806" t="s">
        <v>37</v>
      </c>
      <c r="E1806" t="s">
        <v>38</v>
      </c>
      <c r="F1806" t="str">
        <f>"0001883"</f>
        <v>0001883</v>
      </c>
      <c r="G1806">
        <v>1</v>
      </c>
      <c r="H1806" t="str">
        <f>"00000000"</f>
        <v>00000000</v>
      </c>
      <c r="I1806" t="s">
        <v>39</v>
      </c>
      <c r="J1806"/>
      <c r="K1806">
        <v>372.88</v>
      </c>
      <c r="L1806">
        <v>0.0</v>
      </c>
      <c r="M1806"/>
      <c r="N1806"/>
      <c r="O1806">
        <v>67.12</v>
      </c>
      <c r="P1806">
        <v>0.0</v>
      </c>
      <c r="Q1806">
        <v>440.0</v>
      </c>
      <c r="R1806"/>
      <c r="S1806"/>
      <c r="T1806"/>
      <c r="U1806"/>
      <c r="V1806"/>
      <c r="W1806">
        <v>18</v>
      </c>
    </row>
    <row r="1807" spans="1:23">
      <c r="A1807"/>
      <c r="B1807" t="s">
        <v>143</v>
      </c>
      <c r="C1807" t="s">
        <v>143</v>
      </c>
      <c r="D1807" t="s">
        <v>37</v>
      </c>
      <c r="E1807" t="s">
        <v>38</v>
      </c>
      <c r="F1807" t="str">
        <f>"0001884"</f>
        <v>0001884</v>
      </c>
      <c r="G1807">
        <v>1</v>
      </c>
      <c r="H1807" t="str">
        <f>"00000000"</f>
        <v>00000000</v>
      </c>
      <c r="I1807" t="s">
        <v>39</v>
      </c>
      <c r="J1807"/>
      <c r="K1807">
        <v>474.58</v>
      </c>
      <c r="L1807">
        <v>0.0</v>
      </c>
      <c r="M1807"/>
      <c r="N1807"/>
      <c r="O1807">
        <v>85.42</v>
      </c>
      <c r="P1807">
        <v>0.0</v>
      </c>
      <c r="Q1807">
        <v>560.0</v>
      </c>
      <c r="R1807"/>
      <c r="S1807"/>
      <c r="T1807"/>
      <c r="U1807"/>
      <c r="V1807"/>
      <c r="W1807">
        <v>18</v>
      </c>
    </row>
    <row r="1808" spans="1:23">
      <c r="A1808"/>
      <c r="B1808" t="s">
        <v>143</v>
      </c>
      <c r="C1808" t="s">
        <v>143</v>
      </c>
      <c r="D1808" t="s">
        <v>37</v>
      </c>
      <c r="E1808" t="s">
        <v>38</v>
      </c>
      <c r="F1808" t="str">
        <f>"0001885"</f>
        <v>0001885</v>
      </c>
      <c r="G1808">
        <v>1</v>
      </c>
      <c r="H1808" t="str">
        <f>"00000000"</f>
        <v>00000000</v>
      </c>
      <c r="I1808" t="s">
        <v>39</v>
      </c>
      <c r="J1808"/>
      <c r="K1808">
        <v>406.78</v>
      </c>
      <c r="L1808">
        <v>0.0</v>
      </c>
      <c r="M1808"/>
      <c r="N1808"/>
      <c r="O1808">
        <v>73.22</v>
      </c>
      <c r="P1808">
        <v>0.0</v>
      </c>
      <c r="Q1808">
        <v>480.0</v>
      </c>
      <c r="R1808"/>
      <c r="S1808"/>
      <c r="T1808"/>
      <c r="U1808"/>
      <c r="V1808"/>
      <c r="W1808">
        <v>18</v>
      </c>
    </row>
    <row r="1809" spans="1:23">
      <c r="A1809"/>
      <c r="B1809" t="s">
        <v>143</v>
      </c>
      <c r="C1809" t="s">
        <v>143</v>
      </c>
      <c r="D1809" t="s">
        <v>37</v>
      </c>
      <c r="E1809" t="s">
        <v>38</v>
      </c>
      <c r="F1809" t="str">
        <f>"0001886"</f>
        <v>0001886</v>
      </c>
      <c r="G1809">
        <v>1</v>
      </c>
      <c r="H1809" t="str">
        <f>"00000000"</f>
        <v>00000000</v>
      </c>
      <c r="I1809" t="s">
        <v>39</v>
      </c>
      <c r="J1809"/>
      <c r="K1809">
        <v>406.78</v>
      </c>
      <c r="L1809">
        <v>0.0</v>
      </c>
      <c r="M1809"/>
      <c r="N1809"/>
      <c r="O1809">
        <v>73.22</v>
      </c>
      <c r="P1809">
        <v>0.0</v>
      </c>
      <c r="Q1809">
        <v>480.0</v>
      </c>
      <c r="R1809"/>
      <c r="S1809"/>
      <c r="T1809"/>
      <c r="U1809"/>
      <c r="V1809"/>
      <c r="W1809">
        <v>18</v>
      </c>
    </row>
    <row r="1810" spans="1:23">
      <c r="A1810"/>
      <c r="B1810" t="s">
        <v>143</v>
      </c>
      <c r="C1810" t="s">
        <v>143</v>
      </c>
      <c r="D1810" t="s">
        <v>37</v>
      </c>
      <c r="E1810" t="s">
        <v>38</v>
      </c>
      <c r="F1810" t="str">
        <f>"0001887"</f>
        <v>0001887</v>
      </c>
      <c r="G1810">
        <v>1</v>
      </c>
      <c r="H1810" t="str">
        <f>"00000000"</f>
        <v>00000000</v>
      </c>
      <c r="I1810" t="s">
        <v>39</v>
      </c>
      <c r="J1810"/>
      <c r="K1810">
        <v>186.44</v>
      </c>
      <c r="L1810">
        <v>0.0</v>
      </c>
      <c r="M1810"/>
      <c r="N1810"/>
      <c r="O1810">
        <v>33.56</v>
      </c>
      <c r="P1810">
        <v>0.0</v>
      </c>
      <c r="Q1810">
        <v>220.0</v>
      </c>
      <c r="R1810"/>
      <c r="S1810"/>
      <c r="T1810"/>
      <c r="U1810"/>
      <c r="V1810"/>
      <c r="W1810">
        <v>18</v>
      </c>
    </row>
    <row r="1811" spans="1:23">
      <c r="A1811"/>
      <c r="B1811" t="s">
        <v>143</v>
      </c>
      <c r="C1811" t="s">
        <v>143</v>
      </c>
      <c r="D1811" t="s">
        <v>37</v>
      </c>
      <c r="E1811" t="s">
        <v>38</v>
      </c>
      <c r="F1811" t="str">
        <f>"0001888"</f>
        <v>0001888</v>
      </c>
      <c r="G1811">
        <v>1</v>
      </c>
      <c r="H1811" t="str">
        <f>"00000000"</f>
        <v>00000000</v>
      </c>
      <c r="I1811" t="s">
        <v>39</v>
      </c>
      <c r="J1811"/>
      <c r="K1811">
        <v>406.78</v>
      </c>
      <c r="L1811">
        <v>0.0</v>
      </c>
      <c r="M1811"/>
      <c r="N1811"/>
      <c r="O1811">
        <v>73.22</v>
      </c>
      <c r="P1811">
        <v>0.0</v>
      </c>
      <c r="Q1811">
        <v>480.0</v>
      </c>
      <c r="R1811"/>
      <c r="S1811"/>
      <c r="T1811"/>
      <c r="U1811"/>
      <c r="V1811"/>
      <c r="W1811">
        <v>18</v>
      </c>
    </row>
    <row r="1812" spans="1:23">
      <c r="A1812"/>
      <c r="B1812" t="s">
        <v>143</v>
      </c>
      <c r="C1812" t="s">
        <v>143</v>
      </c>
      <c r="D1812" t="s">
        <v>37</v>
      </c>
      <c r="E1812" t="s">
        <v>38</v>
      </c>
      <c r="F1812" t="str">
        <f>"0001889"</f>
        <v>0001889</v>
      </c>
      <c r="G1812">
        <v>1</v>
      </c>
      <c r="H1812" t="str">
        <f>"00000000"</f>
        <v>00000000</v>
      </c>
      <c r="I1812" t="s">
        <v>39</v>
      </c>
      <c r="J1812"/>
      <c r="K1812">
        <v>338.98</v>
      </c>
      <c r="L1812">
        <v>0.0</v>
      </c>
      <c r="M1812"/>
      <c r="N1812"/>
      <c r="O1812">
        <v>61.02</v>
      </c>
      <c r="P1812">
        <v>0.0</v>
      </c>
      <c r="Q1812">
        <v>400.0</v>
      </c>
      <c r="R1812"/>
      <c r="S1812"/>
      <c r="T1812"/>
      <c r="U1812"/>
      <c r="V1812"/>
      <c r="W1812">
        <v>18</v>
      </c>
    </row>
    <row r="1813" spans="1:23">
      <c r="A1813"/>
      <c r="B1813" t="s">
        <v>143</v>
      </c>
      <c r="C1813" t="s">
        <v>143</v>
      </c>
      <c r="D1813" t="s">
        <v>37</v>
      </c>
      <c r="E1813" t="s">
        <v>38</v>
      </c>
      <c r="F1813" t="str">
        <f>"0001890"</f>
        <v>0001890</v>
      </c>
      <c r="G1813">
        <v>1</v>
      </c>
      <c r="H1813" t="str">
        <f>"00000000"</f>
        <v>00000000</v>
      </c>
      <c r="I1813" t="s">
        <v>39</v>
      </c>
      <c r="J1813"/>
      <c r="K1813">
        <v>284.75</v>
      </c>
      <c r="L1813">
        <v>0.0</v>
      </c>
      <c r="M1813"/>
      <c r="N1813"/>
      <c r="O1813">
        <v>51.25</v>
      </c>
      <c r="P1813">
        <v>0.0</v>
      </c>
      <c r="Q1813">
        <v>336.0</v>
      </c>
      <c r="R1813"/>
      <c r="S1813"/>
      <c r="T1813"/>
      <c r="U1813"/>
      <c r="V1813"/>
      <c r="W1813">
        <v>18</v>
      </c>
    </row>
    <row r="1814" spans="1:23">
      <c r="A1814"/>
      <c r="B1814" t="s">
        <v>143</v>
      </c>
      <c r="C1814" t="s">
        <v>143</v>
      </c>
      <c r="D1814" t="s">
        <v>37</v>
      </c>
      <c r="E1814" t="s">
        <v>38</v>
      </c>
      <c r="F1814" t="str">
        <f>"0001891"</f>
        <v>0001891</v>
      </c>
      <c r="G1814">
        <v>1</v>
      </c>
      <c r="H1814" t="str">
        <f>"00000000"</f>
        <v>00000000</v>
      </c>
      <c r="I1814" t="s">
        <v>39</v>
      </c>
      <c r="J1814"/>
      <c r="K1814">
        <v>277.97</v>
      </c>
      <c r="L1814">
        <v>0.0</v>
      </c>
      <c r="M1814"/>
      <c r="N1814"/>
      <c r="O1814">
        <v>50.03</v>
      </c>
      <c r="P1814">
        <v>0.0</v>
      </c>
      <c r="Q1814">
        <v>328.0</v>
      </c>
      <c r="R1814"/>
      <c r="S1814"/>
      <c r="T1814"/>
      <c r="U1814"/>
      <c r="V1814"/>
      <c r="W1814">
        <v>18</v>
      </c>
    </row>
    <row r="1815" spans="1:23">
      <c r="A1815"/>
      <c r="B1815" t="s">
        <v>143</v>
      </c>
      <c r="C1815" t="s">
        <v>143</v>
      </c>
      <c r="D1815" t="s">
        <v>37</v>
      </c>
      <c r="E1815" t="s">
        <v>38</v>
      </c>
      <c r="F1815" t="str">
        <f>"0001892"</f>
        <v>0001892</v>
      </c>
      <c r="G1815">
        <v>1</v>
      </c>
      <c r="H1815" t="str">
        <f>"00000000"</f>
        <v>00000000</v>
      </c>
      <c r="I1815" t="s">
        <v>39</v>
      </c>
      <c r="J1815"/>
      <c r="K1815">
        <v>237.29</v>
      </c>
      <c r="L1815">
        <v>0.0</v>
      </c>
      <c r="M1815"/>
      <c r="N1815"/>
      <c r="O1815">
        <v>42.71</v>
      </c>
      <c r="P1815">
        <v>0.0</v>
      </c>
      <c r="Q1815">
        <v>280.0</v>
      </c>
      <c r="R1815"/>
      <c r="S1815"/>
      <c r="T1815"/>
      <c r="U1815"/>
      <c r="V1815"/>
      <c r="W1815">
        <v>18</v>
      </c>
    </row>
    <row r="1816" spans="1:23">
      <c r="A1816"/>
      <c r="B1816" t="s">
        <v>143</v>
      </c>
      <c r="C1816" t="s">
        <v>143</v>
      </c>
      <c r="D1816" t="s">
        <v>37</v>
      </c>
      <c r="E1816" t="s">
        <v>38</v>
      </c>
      <c r="F1816" t="str">
        <f>"0001893"</f>
        <v>0001893</v>
      </c>
      <c r="G1816">
        <v>1</v>
      </c>
      <c r="H1816" t="str">
        <f>"00000000"</f>
        <v>00000000</v>
      </c>
      <c r="I1816" t="s">
        <v>39</v>
      </c>
      <c r="J1816"/>
      <c r="K1816">
        <v>381.36</v>
      </c>
      <c r="L1816">
        <v>0.0</v>
      </c>
      <c r="M1816"/>
      <c r="N1816"/>
      <c r="O1816">
        <v>68.64</v>
      </c>
      <c r="P1816">
        <v>0.0</v>
      </c>
      <c r="Q1816">
        <v>450.0</v>
      </c>
      <c r="R1816"/>
      <c r="S1816"/>
      <c r="T1816"/>
      <c r="U1816"/>
      <c r="V1816"/>
      <c r="W1816">
        <v>18</v>
      </c>
    </row>
    <row r="1817" spans="1:23">
      <c r="A1817"/>
      <c r="B1817" t="s">
        <v>143</v>
      </c>
      <c r="C1817" t="s">
        <v>143</v>
      </c>
      <c r="D1817" t="s">
        <v>37</v>
      </c>
      <c r="E1817" t="s">
        <v>38</v>
      </c>
      <c r="F1817" t="str">
        <f>"0001894"</f>
        <v>0001894</v>
      </c>
      <c r="G1817">
        <v>1</v>
      </c>
      <c r="H1817" t="str">
        <f>"11111111"</f>
        <v>11111111</v>
      </c>
      <c r="I1817" t="s">
        <v>144</v>
      </c>
      <c r="J1817"/>
      <c r="K1817">
        <v>338.98</v>
      </c>
      <c r="L1817">
        <v>0.0</v>
      </c>
      <c r="M1817"/>
      <c r="N1817"/>
      <c r="O1817">
        <v>61.02</v>
      </c>
      <c r="P1817">
        <v>0.0</v>
      </c>
      <c r="Q1817">
        <v>400.0</v>
      </c>
      <c r="R1817"/>
      <c r="S1817"/>
      <c r="T1817"/>
      <c r="U1817"/>
      <c r="V1817"/>
      <c r="W1817">
        <v>18</v>
      </c>
    </row>
    <row r="1818" spans="1:23">
      <c r="A1818"/>
      <c r="B1818" t="s">
        <v>143</v>
      </c>
      <c r="C1818" t="s">
        <v>143</v>
      </c>
      <c r="D1818" t="s">
        <v>37</v>
      </c>
      <c r="E1818" t="s">
        <v>38</v>
      </c>
      <c r="F1818" t="str">
        <f>"0001895"</f>
        <v>0001895</v>
      </c>
      <c r="G1818">
        <v>1</v>
      </c>
      <c r="H1818" t="str">
        <f>"00000000"</f>
        <v>00000000</v>
      </c>
      <c r="I1818" t="s">
        <v>39</v>
      </c>
      <c r="J1818"/>
      <c r="K1818">
        <v>326.27</v>
      </c>
      <c r="L1818">
        <v>0.0</v>
      </c>
      <c r="M1818"/>
      <c r="N1818"/>
      <c r="O1818">
        <v>58.73</v>
      </c>
      <c r="P1818">
        <v>0.0</v>
      </c>
      <c r="Q1818">
        <v>385.0</v>
      </c>
      <c r="R1818"/>
      <c r="S1818"/>
      <c r="T1818"/>
      <c r="U1818"/>
      <c r="V1818"/>
      <c r="W1818">
        <v>18</v>
      </c>
    </row>
    <row r="1819" spans="1:23">
      <c r="A1819"/>
      <c r="B1819" t="s">
        <v>143</v>
      </c>
      <c r="C1819" t="s">
        <v>143</v>
      </c>
      <c r="D1819" t="s">
        <v>37</v>
      </c>
      <c r="E1819" t="s">
        <v>38</v>
      </c>
      <c r="F1819" t="str">
        <f>"0001896"</f>
        <v>0001896</v>
      </c>
      <c r="G1819">
        <v>1</v>
      </c>
      <c r="H1819" t="str">
        <f>"00000000"</f>
        <v>00000000</v>
      </c>
      <c r="I1819" t="s">
        <v>39</v>
      </c>
      <c r="J1819"/>
      <c r="K1819">
        <v>305.08</v>
      </c>
      <c r="L1819">
        <v>0.0</v>
      </c>
      <c r="M1819"/>
      <c r="N1819"/>
      <c r="O1819">
        <v>54.92</v>
      </c>
      <c r="P1819">
        <v>0.0</v>
      </c>
      <c r="Q1819">
        <v>360.0</v>
      </c>
      <c r="R1819"/>
      <c r="S1819"/>
      <c r="T1819"/>
      <c r="U1819"/>
      <c r="V1819"/>
      <c r="W1819">
        <v>18</v>
      </c>
    </row>
    <row r="1820" spans="1:23">
      <c r="A1820"/>
      <c r="B1820" t="s">
        <v>143</v>
      </c>
      <c r="C1820" t="s">
        <v>143</v>
      </c>
      <c r="D1820" t="s">
        <v>37</v>
      </c>
      <c r="E1820" t="s">
        <v>38</v>
      </c>
      <c r="F1820" t="str">
        <f>"0001897"</f>
        <v>0001897</v>
      </c>
      <c r="G1820">
        <v>1</v>
      </c>
      <c r="H1820" t="str">
        <f>"00000000"</f>
        <v>00000000</v>
      </c>
      <c r="I1820" t="s">
        <v>39</v>
      </c>
      <c r="J1820"/>
      <c r="K1820">
        <v>474.58</v>
      </c>
      <c r="L1820">
        <v>0.0</v>
      </c>
      <c r="M1820"/>
      <c r="N1820"/>
      <c r="O1820">
        <v>85.42</v>
      </c>
      <c r="P1820">
        <v>0.0</v>
      </c>
      <c r="Q1820">
        <v>560.0</v>
      </c>
      <c r="R1820"/>
      <c r="S1820"/>
      <c r="T1820"/>
      <c r="U1820"/>
      <c r="V1820"/>
      <c r="W1820">
        <v>18</v>
      </c>
    </row>
    <row r="1821" spans="1:23">
      <c r="A1821"/>
      <c r="B1821" t="s">
        <v>143</v>
      </c>
      <c r="C1821" t="s">
        <v>143</v>
      </c>
      <c r="D1821" t="s">
        <v>37</v>
      </c>
      <c r="E1821" t="s">
        <v>38</v>
      </c>
      <c r="F1821" t="str">
        <f>"0001898"</f>
        <v>0001898</v>
      </c>
      <c r="G1821">
        <v>1</v>
      </c>
      <c r="H1821" t="str">
        <f>"00000000"</f>
        <v>00000000</v>
      </c>
      <c r="I1821" t="s">
        <v>39</v>
      </c>
      <c r="J1821"/>
      <c r="K1821">
        <v>423.73</v>
      </c>
      <c r="L1821">
        <v>0.0</v>
      </c>
      <c r="M1821"/>
      <c r="N1821"/>
      <c r="O1821">
        <v>76.27</v>
      </c>
      <c r="P1821">
        <v>0.0</v>
      </c>
      <c r="Q1821">
        <v>500.0</v>
      </c>
      <c r="R1821"/>
      <c r="S1821"/>
      <c r="T1821"/>
      <c r="U1821"/>
      <c r="V1821"/>
      <c r="W1821">
        <v>18</v>
      </c>
    </row>
    <row r="1822" spans="1:23">
      <c r="A1822"/>
      <c r="B1822" t="s">
        <v>145</v>
      </c>
      <c r="C1822" t="s">
        <v>145</v>
      </c>
      <c r="D1822" t="s">
        <v>37</v>
      </c>
      <c r="E1822" t="s">
        <v>38</v>
      </c>
      <c r="F1822" t="str">
        <f>"0001899"</f>
        <v>0001899</v>
      </c>
      <c r="G1822">
        <v>1</v>
      </c>
      <c r="H1822" t="str">
        <f>"00000000"</f>
        <v>00000000</v>
      </c>
      <c r="I1822" t="s">
        <v>39</v>
      </c>
      <c r="J1822"/>
      <c r="K1822">
        <v>305.08</v>
      </c>
      <c r="L1822">
        <v>0.0</v>
      </c>
      <c r="M1822"/>
      <c r="N1822"/>
      <c r="O1822">
        <v>54.92</v>
      </c>
      <c r="P1822">
        <v>0.0</v>
      </c>
      <c r="Q1822">
        <v>360.0</v>
      </c>
      <c r="R1822"/>
      <c r="S1822"/>
      <c r="T1822"/>
      <c r="U1822"/>
      <c r="V1822"/>
      <c r="W1822">
        <v>18</v>
      </c>
    </row>
    <row r="1823" spans="1:23">
      <c r="A1823"/>
      <c r="B1823" t="s">
        <v>145</v>
      </c>
      <c r="C1823" t="s">
        <v>145</v>
      </c>
      <c r="D1823" t="s">
        <v>37</v>
      </c>
      <c r="E1823" t="s">
        <v>38</v>
      </c>
      <c r="F1823" t="str">
        <f>"0001900"</f>
        <v>0001900</v>
      </c>
      <c r="G1823">
        <v>1</v>
      </c>
      <c r="H1823" t="str">
        <f>"00000000"</f>
        <v>00000000</v>
      </c>
      <c r="I1823" t="s">
        <v>39</v>
      </c>
      <c r="J1823"/>
      <c r="K1823">
        <v>228.81</v>
      </c>
      <c r="L1823">
        <v>0.0</v>
      </c>
      <c r="M1823"/>
      <c r="N1823"/>
      <c r="O1823">
        <v>41.19</v>
      </c>
      <c r="P1823">
        <v>0.0</v>
      </c>
      <c r="Q1823">
        <v>270.0</v>
      </c>
      <c r="R1823"/>
      <c r="S1823"/>
      <c r="T1823"/>
      <c r="U1823"/>
      <c r="V1823"/>
      <c r="W1823">
        <v>18</v>
      </c>
    </row>
    <row r="1824" spans="1:23">
      <c r="A1824"/>
      <c r="B1824" t="s">
        <v>145</v>
      </c>
      <c r="C1824" t="s">
        <v>145</v>
      </c>
      <c r="D1824" t="s">
        <v>37</v>
      </c>
      <c r="E1824" t="s">
        <v>38</v>
      </c>
      <c r="F1824" t="str">
        <f>"0001901"</f>
        <v>0001901</v>
      </c>
      <c r="G1824">
        <v>1</v>
      </c>
      <c r="H1824" t="str">
        <f>"00000000"</f>
        <v>00000000</v>
      </c>
      <c r="I1824" t="s">
        <v>39</v>
      </c>
      <c r="J1824"/>
      <c r="K1824">
        <v>474.58</v>
      </c>
      <c r="L1824">
        <v>0.0</v>
      </c>
      <c r="M1824"/>
      <c r="N1824"/>
      <c r="O1824">
        <v>85.42</v>
      </c>
      <c r="P1824">
        <v>0.0</v>
      </c>
      <c r="Q1824">
        <v>560.0</v>
      </c>
      <c r="R1824"/>
      <c r="S1824"/>
      <c r="T1824"/>
      <c r="U1824"/>
      <c r="V1824"/>
      <c r="W1824">
        <v>18</v>
      </c>
    </row>
    <row r="1825" spans="1:23">
      <c r="A1825"/>
      <c r="B1825" t="s">
        <v>145</v>
      </c>
      <c r="C1825" t="s">
        <v>145</v>
      </c>
      <c r="D1825" t="s">
        <v>37</v>
      </c>
      <c r="E1825" t="s">
        <v>38</v>
      </c>
      <c r="F1825" t="str">
        <f>"0001902"</f>
        <v>0001902</v>
      </c>
      <c r="G1825">
        <v>1</v>
      </c>
      <c r="H1825" t="str">
        <f>"00000000"</f>
        <v>00000000</v>
      </c>
      <c r="I1825" t="s">
        <v>39</v>
      </c>
      <c r="J1825"/>
      <c r="K1825">
        <v>355.93</v>
      </c>
      <c r="L1825">
        <v>0.0</v>
      </c>
      <c r="M1825"/>
      <c r="N1825"/>
      <c r="O1825">
        <v>64.07</v>
      </c>
      <c r="P1825">
        <v>0.0</v>
      </c>
      <c r="Q1825">
        <v>420.0</v>
      </c>
      <c r="R1825"/>
      <c r="S1825"/>
      <c r="T1825"/>
      <c r="U1825"/>
      <c r="V1825"/>
      <c r="W1825">
        <v>18</v>
      </c>
    </row>
    <row r="1826" spans="1:23">
      <c r="A1826"/>
      <c r="B1826" t="s">
        <v>145</v>
      </c>
      <c r="C1826" t="s">
        <v>145</v>
      </c>
      <c r="D1826" t="s">
        <v>37</v>
      </c>
      <c r="E1826" t="s">
        <v>38</v>
      </c>
      <c r="F1826" t="str">
        <f>"0001903"</f>
        <v>0001903</v>
      </c>
      <c r="G1826">
        <v>1</v>
      </c>
      <c r="H1826" t="str">
        <f>"00000000"</f>
        <v>00000000</v>
      </c>
      <c r="I1826" t="s">
        <v>39</v>
      </c>
      <c r="J1826"/>
      <c r="K1826">
        <v>447.46</v>
      </c>
      <c r="L1826">
        <v>0.0</v>
      </c>
      <c r="M1826"/>
      <c r="N1826"/>
      <c r="O1826">
        <v>80.54</v>
      </c>
      <c r="P1826">
        <v>0.0</v>
      </c>
      <c r="Q1826">
        <v>528.0</v>
      </c>
      <c r="R1826"/>
      <c r="S1826"/>
      <c r="T1826"/>
      <c r="U1826"/>
      <c r="V1826"/>
      <c r="W1826">
        <v>18</v>
      </c>
    </row>
    <row r="1827" spans="1:23">
      <c r="A1827"/>
      <c r="B1827" t="s">
        <v>145</v>
      </c>
      <c r="C1827" t="s">
        <v>145</v>
      </c>
      <c r="D1827" t="s">
        <v>37</v>
      </c>
      <c r="E1827" t="s">
        <v>38</v>
      </c>
      <c r="F1827" t="str">
        <f>"0001904"</f>
        <v>0001904</v>
      </c>
      <c r="G1827">
        <v>1</v>
      </c>
      <c r="H1827" t="str">
        <f>"00000000"</f>
        <v>00000000</v>
      </c>
      <c r="I1827" t="s">
        <v>39</v>
      </c>
      <c r="J1827"/>
      <c r="K1827">
        <v>189.83</v>
      </c>
      <c r="L1827">
        <v>0.0</v>
      </c>
      <c r="M1827"/>
      <c r="N1827"/>
      <c r="O1827">
        <v>34.17</v>
      </c>
      <c r="P1827">
        <v>0.0</v>
      </c>
      <c r="Q1827">
        <v>224.0</v>
      </c>
      <c r="R1827"/>
      <c r="S1827"/>
      <c r="T1827"/>
      <c r="U1827"/>
      <c r="V1827"/>
      <c r="W1827">
        <v>18</v>
      </c>
    </row>
    <row r="1828" spans="1:23">
      <c r="A1828"/>
      <c r="B1828" t="s">
        <v>145</v>
      </c>
      <c r="C1828" t="s">
        <v>145</v>
      </c>
      <c r="D1828" t="s">
        <v>37</v>
      </c>
      <c r="E1828" t="s">
        <v>38</v>
      </c>
      <c r="F1828" t="str">
        <f>"0001905"</f>
        <v>0001905</v>
      </c>
      <c r="G1828">
        <v>1</v>
      </c>
      <c r="H1828" t="str">
        <f>"00000000"</f>
        <v>00000000</v>
      </c>
      <c r="I1828" t="s">
        <v>39</v>
      </c>
      <c r="J1828"/>
      <c r="K1828">
        <v>466.1</v>
      </c>
      <c r="L1828">
        <v>0.0</v>
      </c>
      <c r="M1828"/>
      <c r="N1828"/>
      <c r="O1828">
        <v>83.9</v>
      </c>
      <c r="P1828">
        <v>0.0</v>
      </c>
      <c r="Q1828">
        <v>550.0</v>
      </c>
      <c r="R1828"/>
      <c r="S1828"/>
      <c r="T1828"/>
      <c r="U1828"/>
      <c r="V1828"/>
      <c r="W1828">
        <v>18</v>
      </c>
    </row>
    <row r="1829" spans="1:23">
      <c r="A1829"/>
      <c r="B1829" t="s">
        <v>145</v>
      </c>
      <c r="C1829" t="s">
        <v>145</v>
      </c>
      <c r="D1829" t="s">
        <v>37</v>
      </c>
      <c r="E1829" t="s">
        <v>38</v>
      </c>
      <c r="F1829" t="str">
        <f>"0001906"</f>
        <v>0001906</v>
      </c>
      <c r="G1829">
        <v>1</v>
      </c>
      <c r="H1829" t="str">
        <f>"00000000"</f>
        <v>00000000</v>
      </c>
      <c r="I1829" t="s">
        <v>39</v>
      </c>
      <c r="J1829"/>
      <c r="K1829">
        <v>271.19</v>
      </c>
      <c r="L1829">
        <v>0.0</v>
      </c>
      <c r="M1829"/>
      <c r="N1829"/>
      <c r="O1829">
        <v>48.81</v>
      </c>
      <c r="P1829">
        <v>0.0</v>
      </c>
      <c r="Q1829">
        <v>320.0</v>
      </c>
      <c r="R1829"/>
      <c r="S1829"/>
      <c r="T1829"/>
      <c r="U1829"/>
      <c r="V1829"/>
      <c r="W1829">
        <v>18</v>
      </c>
    </row>
    <row r="1830" spans="1:23">
      <c r="A1830"/>
      <c r="B1830" t="s">
        <v>145</v>
      </c>
      <c r="C1830" t="s">
        <v>145</v>
      </c>
      <c r="D1830" t="s">
        <v>37</v>
      </c>
      <c r="E1830" t="s">
        <v>38</v>
      </c>
      <c r="F1830" t="str">
        <f>"0001907"</f>
        <v>0001907</v>
      </c>
      <c r="G1830">
        <v>1</v>
      </c>
      <c r="H1830" t="str">
        <f>"00000000"</f>
        <v>00000000</v>
      </c>
      <c r="I1830" t="s">
        <v>39</v>
      </c>
      <c r="J1830"/>
      <c r="K1830">
        <v>367.8</v>
      </c>
      <c r="L1830">
        <v>0.0</v>
      </c>
      <c r="M1830"/>
      <c r="N1830"/>
      <c r="O1830">
        <v>66.2</v>
      </c>
      <c r="P1830">
        <v>0.0</v>
      </c>
      <c r="Q1830">
        <v>434.0</v>
      </c>
      <c r="R1830"/>
      <c r="S1830"/>
      <c r="T1830"/>
      <c r="U1830"/>
      <c r="V1830"/>
      <c r="W1830">
        <v>18</v>
      </c>
    </row>
    <row r="1831" spans="1:23">
      <c r="A1831"/>
      <c r="B1831" t="s">
        <v>145</v>
      </c>
      <c r="C1831" t="s">
        <v>145</v>
      </c>
      <c r="D1831" t="s">
        <v>37</v>
      </c>
      <c r="E1831" t="s">
        <v>38</v>
      </c>
      <c r="F1831" t="str">
        <f>"0001908"</f>
        <v>0001908</v>
      </c>
      <c r="G1831">
        <v>1</v>
      </c>
      <c r="H1831" t="str">
        <f>"00000000"</f>
        <v>00000000</v>
      </c>
      <c r="I1831" t="s">
        <v>39</v>
      </c>
      <c r="J1831"/>
      <c r="K1831">
        <v>237.29</v>
      </c>
      <c r="L1831">
        <v>0.0</v>
      </c>
      <c r="M1831"/>
      <c r="N1831"/>
      <c r="O1831">
        <v>42.71</v>
      </c>
      <c r="P1831">
        <v>0.0</v>
      </c>
      <c r="Q1831">
        <v>280.0</v>
      </c>
      <c r="R1831"/>
      <c r="S1831"/>
      <c r="T1831"/>
      <c r="U1831"/>
      <c r="V1831"/>
      <c r="W1831">
        <v>18</v>
      </c>
    </row>
    <row r="1832" spans="1:23">
      <c r="A1832"/>
      <c r="B1832" t="s">
        <v>145</v>
      </c>
      <c r="C1832" t="s">
        <v>145</v>
      </c>
      <c r="D1832" t="s">
        <v>37</v>
      </c>
      <c r="E1832" t="s">
        <v>38</v>
      </c>
      <c r="F1832" t="str">
        <f>"0001909"</f>
        <v>0001909</v>
      </c>
      <c r="G1832">
        <v>1</v>
      </c>
      <c r="H1832" t="str">
        <f>"00000000"</f>
        <v>00000000</v>
      </c>
      <c r="I1832" t="s">
        <v>39</v>
      </c>
      <c r="J1832"/>
      <c r="K1832">
        <v>210.17</v>
      </c>
      <c r="L1832">
        <v>0.0</v>
      </c>
      <c r="M1832"/>
      <c r="N1832"/>
      <c r="O1832">
        <v>37.83</v>
      </c>
      <c r="P1832">
        <v>0.0</v>
      </c>
      <c r="Q1832">
        <v>248.0</v>
      </c>
      <c r="R1832"/>
      <c r="S1832"/>
      <c r="T1832"/>
      <c r="U1832"/>
      <c r="V1832"/>
      <c r="W1832">
        <v>18</v>
      </c>
    </row>
    <row r="1833" spans="1:23">
      <c r="A1833"/>
      <c r="B1833" t="s">
        <v>145</v>
      </c>
      <c r="C1833" t="s">
        <v>145</v>
      </c>
      <c r="D1833" t="s">
        <v>37</v>
      </c>
      <c r="E1833" t="s">
        <v>38</v>
      </c>
      <c r="F1833" t="str">
        <f>"0001910"</f>
        <v>0001910</v>
      </c>
      <c r="G1833">
        <v>1</v>
      </c>
      <c r="H1833" t="str">
        <f>"00000000"</f>
        <v>00000000</v>
      </c>
      <c r="I1833" t="s">
        <v>39</v>
      </c>
      <c r="J1833"/>
      <c r="K1833">
        <v>474.58</v>
      </c>
      <c r="L1833">
        <v>0.0</v>
      </c>
      <c r="M1833"/>
      <c r="N1833"/>
      <c r="O1833">
        <v>85.42</v>
      </c>
      <c r="P1833">
        <v>0.0</v>
      </c>
      <c r="Q1833">
        <v>560.0</v>
      </c>
      <c r="R1833"/>
      <c r="S1833"/>
      <c r="T1833"/>
      <c r="U1833"/>
      <c r="V1833"/>
      <c r="W1833">
        <v>18</v>
      </c>
    </row>
    <row r="1834" spans="1:23">
      <c r="A1834"/>
      <c r="B1834" t="s">
        <v>145</v>
      </c>
      <c r="C1834" t="s">
        <v>145</v>
      </c>
      <c r="D1834" t="s">
        <v>37</v>
      </c>
      <c r="E1834" t="s">
        <v>38</v>
      </c>
      <c r="F1834" t="str">
        <f>"0001911"</f>
        <v>0001911</v>
      </c>
      <c r="G1834">
        <v>1</v>
      </c>
      <c r="H1834" t="str">
        <f>"00000000"</f>
        <v>00000000</v>
      </c>
      <c r="I1834" t="s">
        <v>39</v>
      </c>
      <c r="J1834"/>
      <c r="K1834">
        <v>542.37</v>
      </c>
      <c r="L1834">
        <v>0.0</v>
      </c>
      <c r="M1834"/>
      <c r="N1834"/>
      <c r="O1834">
        <v>97.63</v>
      </c>
      <c r="P1834">
        <v>0.0</v>
      </c>
      <c r="Q1834">
        <v>640.0</v>
      </c>
      <c r="R1834"/>
      <c r="S1834"/>
      <c r="T1834"/>
      <c r="U1834"/>
      <c r="V1834"/>
      <c r="W1834">
        <v>18</v>
      </c>
    </row>
    <row r="1835" spans="1:23">
      <c r="A1835"/>
      <c r="B1835" t="s">
        <v>145</v>
      </c>
      <c r="C1835" t="s">
        <v>145</v>
      </c>
      <c r="D1835" t="s">
        <v>37</v>
      </c>
      <c r="E1835" t="s">
        <v>38</v>
      </c>
      <c r="F1835" t="str">
        <f>"0001912"</f>
        <v>0001912</v>
      </c>
      <c r="G1835">
        <v>1</v>
      </c>
      <c r="H1835" t="str">
        <f>"00000000"</f>
        <v>00000000</v>
      </c>
      <c r="I1835" t="s">
        <v>39</v>
      </c>
      <c r="J1835"/>
      <c r="K1835">
        <v>406.78</v>
      </c>
      <c r="L1835">
        <v>0.0</v>
      </c>
      <c r="M1835"/>
      <c r="N1835"/>
      <c r="O1835">
        <v>73.22</v>
      </c>
      <c r="P1835">
        <v>0.0</v>
      </c>
      <c r="Q1835">
        <v>480.0</v>
      </c>
      <c r="R1835"/>
      <c r="S1835"/>
      <c r="T1835"/>
      <c r="U1835"/>
      <c r="V1835"/>
      <c r="W1835">
        <v>18</v>
      </c>
    </row>
    <row r="1836" spans="1:23">
      <c r="A1836"/>
      <c r="B1836" t="s">
        <v>145</v>
      </c>
      <c r="C1836" t="s">
        <v>145</v>
      </c>
      <c r="D1836" t="s">
        <v>37</v>
      </c>
      <c r="E1836" t="s">
        <v>38</v>
      </c>
      <c r="F1836" t="str">
        <f>"0001913"</f>
        <v>0001913</v>
      </c>
      <c r="G1836">
        <v>1</v>
      </c>
      <c r="H1836" t="str">
        <f>"00000000"</f>
        <v>00000000</v>
      </c>
      <c r="I1836" t="s">
        <v>39</v>
      </c>
      <c r="J1836"/>
      <c r="K1836">
        <v>305.08</v>
      </c>
      <c r="L1836">
        <v>0.0</v>
      </c>
      <c r="M1836"/>
      <c r="N1836"/>
      <c r="O1836">
        <v>54.92</v>
      </c>
      <c r="P1836">
        <v>0.0</v>
      </c>
      <c r="Q1836">
        <v>360.0</v>
      </c>
      <c r="R1836"/>
      <c r="S1836"/>
      <c r="T1836"/>
      <c r="U1836"/>
      <c r="V1836"/>
      <c r="W1836">
        <v>18</v>
      </c>
    </row>
    <row r="1837" spans="1:23">
      <c r="A1837"/>
      <c r="B1837" t="s">
        <v>145</v>
      </c>
      <c r="C1837" t="s">
        <v>145</v>
      </c>
      <c r="D1837" t="s">
        <v>37</v>
      </c>
      <c r="E1837" t="s">
        <v>38</v>
      </c>
      <c r="F1837" t="str">
        <f>"0001914"</f>
        <v>0001914</v>
      </c>
      <c r="G1837">
        <v>1</v>
      </c>
      <c r="H1837" t="str">
        <f>"00000000"</f>
        <v>00000000</v>
      </c>
      <c r="I1837" t="s">
        <v>39</v>
      </c>
      <c r="J1837"/>
      <c r="K1837">
        <v>488.14</v>
      </c>
      <c r="L1837">
        <v>0.0</v>
      </c>
      <c r="M1837"/>
      <c r="N1837"/>
      <c r="O1837">
        <v>87.86</v>
      </c>
      <c r="P1837">
        <v>0.0</v>
      </c>
      <c r="Q1837">
        <v>576.0</v>
      </c>
      <c r="R1837"/>
      <c r="S1837"/>
      <c r="T1837"/>
      <c r="U1837"/>
      <c r="V1837"/>
      <c r="W1837">
        <v>18</v>
      </c>
    </row>
    <row r="1838" spans="1:23">
      <c r="A1838"/>
      <c r="B1838" t="s">
        <v>145</v>
      </c>
      <c r="C1838" t="s">
        <v>145</v>
      </c>
      <c r="D1838" t="s">
        <v>37</v>
      </c>
      <c r="E1838" t="s">
        <v>38</v>
      </c>
      <c r="F1838" t="str">
        <f>"0001915"</f>
        <v>0001915</v>
      </c>
      <c r="G1838">
        <v>1</v>
      </c>
      <c r="H1838" t="str">
        <f>"00000000"</f>
        <v>00000000</v>
      </c>
      <c r="I1838" t="s">
        <v>39</v>
      </c>
      <c r="J1838"/>
      <c r="K1838">
        <v>254.24</v>
      </c>
      <c r="L1838">
        <v>0.0</v>
      </c>
      <c r="M1838"/>
      <c r="N1838"/>
      <c r="O1838">
        <v>45.76</v>
      </c>
      <c r="P1838">
        <v>0.0</v>
      </c>
      <c r="Q1838">
        <v>300.0</v>
      </c>
      <c r="R1838"/>
      <c r="S1838"/>
      <c r="T1838"/>
      <c r="U1838"/>
      <c r="V1838"/>
      <c r="W1838">
        <v>18</v>
      </c>
    </row>
    <row r="1839" spans="1:23">
      <c r="A1839"/>
      <c r="B1839" t="s">
        <v>145</v>
      </c>
      <c r="C1839" t="s">
        <v>145</v>
      </c>
      <c r="D1839" t="s">
        <v>37</v>
      </c>
      <c r="E1839" t="s">
        <v>38</v>
      </c>
      <c r="F1839" t="str">
        <f>"0001916"</f>
        <v>0001916</v>
      </c>
      <c r="G1839">
        <v>1</v>
      </c>
      <c r="H1839" t="str">
        <f>"00000000"</f>
        <v>00000000</v>
      </c>
      <c r="I1839" t="s">
        <v>39</v>
      </c>
      <c r="J1839"/>
      <c r="K1839">
        <v>296.61</v>
      </c>
      <c r="L1839">
        <v>0.0</v>
      </c>
      <c r="M1839"/>
      <c r="N1839"/>
      <c r="O1839">
        <v>53.39</v>
      </c>
      <c r="P1839">
        <v>0.0</v>
      </c>
      <c r="Q1839">
        <v>350.0</v>
      </c>
      <c r="R1839"/>
      <c r="S1839"/>
      <c r="T1839"/>
      <c r="U1839"/>
      <c r="V1839"/>
      <c r="W1839">
        <v>18</v>
      </c>
    </row>
    <row r="1840" spans="1:23">
      <c r="A1840"/>
      <c r="B1840" t="s">
        <v>145</v>
      </c>
      <c r="C1840" t="s">
        <v>145</v>
      </c>
      <c r="D1840" t="s">
        <v>37</v>
      </c>
      <c r="E1840" t="s">
        <v>38</v>
      </c>
      <c r="F1840" t="str">
        <f>"0001917"</f>
        <v>0001917</v>
      </c>
      <c r="G1840">
        <v>1</v>
      </c>
      <c r="H1840" t="str">
        <f>"00000000"</f>
        <v>00000000</v>
      </c>
      <c r="I1840" t="s">
        <v>39</v>
      </c>
      <c r="J1840"/>
      <c r="K1840">
        <v>261.02</v>
      </c>
      <c r="L1840">
        <v>0.0</v>
      </c>
      <c r="M1840"/>
      <c r="N1840"/>
      <c r="O1840">
        <v>46.98</v>
      </c>
      <c r="P1840">
        <v>0.0</v>
      </c>
      <c r="Q1840">
        <v>308.0</v>
      </c>
      <c r="R1840"/>
      <c r="S1840"/>
      <c r="T1840"/>
      <c r="U1840"/>
      <c r="V1840"/>
      <c r="W1840">
        <v>18</v>
      </c>
    </row>
    <row r="1841" spans="1:23">
      <c r="A1841"/>
      <c r="B1841" t="s">
        <v>145</v>
      </c>
      <c r="C1841" t="s">
        <v>145</v>
      </c>
      <c r="D1841" t="s">
        <v>37</v>
      </c>
      <c r="E1841" t="s">
        <v>38</v>
      </c>
      <c r="F1841" t="str">
        <f>"0001918"</f>
        <v>0001918</v>
      </c>
      <c r="G1841">
        <v>1</v>
      </c>
      <c r="H1841" t="str">
        <f>"00000000"</f>
        <v>00000000</v>
      </c>
      <c r="I1841" t="s">
        <v>39</v>
      </c>
      <c r="J1841"/>
      <c r="K1841">
        <v>211.86</v>
      </c>
      <c r="L1841">
        <v>0.0</v>
      </c>
      <c r="M1841"/>
      <c r="N1841"/>
      <c r="O1841">
        <v>38.14</v>
      </c>
      <c r="P1841">
        <v>0.0</v>
      </c>
      <c r="Q1841">
        <v>250.0</v>
      </c>
      <c r="R1841"/>
      <c r="S1841"/>
      <c r="T1841"/>
      <c r="U1841"/>
      <c r="V1841"/>
      <c r="W1841">
        <v>18</v>
      </c>
    </row>
    <row r="1842" spans="1:23">
      <c r="A1842"/>
      <c r="B1842" t="s">
        <v>146</v>
      </c>
      <c r="C1842" t="s">
        <v>146</v>
      </c>
      <c r="D1842" t="s">
        <v>37</v>
      </c>
      <c r="E1842" t="s">
        <v>38</v>
      </c>
      <c r="F1842" t="str">
        <f>"0001919"</f>
        <v>0001919</v>
      </c>
      <c r="G1842">
        <v>1</v>
      </c>
      <c r="H1842" t="str">
        <f>"00000000"</f>
        <v>00000000</v>
      </c>
      <c r="I1842" t="s">
        <v>39</v>
      </c>
      <c r="J1842"/>
      <c r="K1842">
        <v>284.75</v>
      </c>
      <c r="L1842">
        <v>0.0</v>
      </c>
      <c r="M1842"/>
      <c r="N1842"/>
      <c r="O1842">
        <v>51.25</v>
      </c>
      <c r="P1842">
        <v>0.0</v>
      </c>
      <c r="Q1842">
        <v>336.0</v>
      </c>
      <c r="R1842"/>
      <c r="S1842"/>
      <c r="T1842"/>
      <c r="U1842"/>
      <c r="V1842"/>
      <c r="W1842">
        <v>18</v>
      </c>
    </row>
    <row r="1843" spans="1:23">
      <c r="A1843"/>
      <c r="B1843" t="s">
        <v>146</v>
      </c>
      <c r="C1843" t="s">
        <v>146</v>
      </c>
      <c r="D1843" t="s">
        <v>37</v>
      </c>
      <c r="E1843" t="s">
        <v>38</v>
      </c>
      <c r="F1843" t="str">
        <f>"0001920"</f>
        <v>0001920</v>
      </c>
      <c r="G1843">
        <v>1</v>
      </c>
      <c r="H1843" t="str">
        <f>"00000000"</f>
        <v>00000000</v>
      </c>
      <c r="I1843" t="s">
        <v>39</v>
      </c>
      <c r="J1843"/>
      <c r="K1843">
        <v>213.56</v>
      </c>
      <c r="L1843">
        <v>0.0</v>
      </c>
      <c r="M1843"/>
      <c r="N1843"/>
      <c r="O1843">
        <v>38.44</v>
      </c>
      <c r="P1843">
        <v>0.0</v>
      </c>
      <c r="Q1843">
        <v>252.0</v>
      </c>
      <c r="R1843"/>
      <c r="S1843"/>
      <c r="T1843"/>
      <c r="U1843"/>
      <c r="V1843"/>
      <c r="W1843">
        <v>18</v>
      </c>
    </row>
    <row r="1844" spans="1:23">
      <c r="A1844"/>
      <c r="B1844" t="s">
        <v>146</v>
      </c>
      <c r="C1844" t="s">
        <v>146</v>
      </c>
      <c r="D1844" t="s">
        <v>37</v>
      </c>
      <c r="E1844" t="s">
        <v>38</v>
      </c>
      <c r="F1844" t="str">
        <f>"0001921"</f>
        <v>0001921</v>
      </c>
      <c r="G1844">
        <v>1</v>
      </c>
      <c r="H1844" t="str">
        <f>"00000000"</f>
        <v>00000000</v>
      </c>
      <c r="I1844" t="s">
        <v>39</v>
      </c>
      <c r="J1844"/>
      <c r="K1844">
        <v>415.25</v>
      </c>
      <c r="L1844">
        <v>0.0</v>
      </c>
      <c r="M1844"/>
      <c r="N1844"/>
      <c r="O1844">
        <v>74.75</v>
      </c>
      <c r="P1844">
        <v>0.0</v>
      </c>
      <c r="Q1844">
        <v>490.0</v>
      </c>
      <c r="R1844"/>
      <c r="S1844"/>
      <c r="T1844"/>
      <c r="U1844"/>
      <c r="V1844"/>
      <c r="W1844">
        <v>18</v>
      </c>
    </row>
    <row r="1845" spans="1:23">
      <c r="A1845"/>
      <c r="B1845" t="s">
        <v>146</v>
      </c>
      <c r="C1845" t="s">
        <v>146</v>
      </c>
      <c r="D1845" t="s">
        <v>37</v>
      </c>
      <c r="E1845" t="s">
        <v>38</v>
      </c>
      <c r="F1845" t="str">
        <f>"0001922"</f>
        <v>0001922</v>
      </c>
      <c r="G1845">
        <v>1</v>
      </c>
      <c r="H1845" t="str">
        <f>"00000000"</f>
        <v>00000000</v>
      </c>
      <c r="I1845" t="s">
        <v>39</v>
      </c>
      <c r="J1845"/>
      <c r="K1845">
        <v>457.63</v>
      </c>
      <c r="L1845">
        <v>0.0</v>
      </c>
      <c r="M1845"/>
      <c r="N1845"/>
      <c r="O1845">
        <v>82.37</v>
      </c>
      <c r="P1845">
        <v>0.0</v>
      </c>
      <c r="Q1845">
        <v>540.0</v>
      </c>
      <c r="R1845"/>
      <c r="S1845"/>
      <c r="T1845"/>
      <c r="U1845"/>
      <c r="V1845"/>
      <c r="W1845">
        <v>18</v>
      </c>
    </row>
    <row r="1846" spans="1:23">
      <c r="A1846"/>
      <c r="B1846" t="s">
        <v>146</v>
      </c>
      <c r="C1846" t="s">
        <v>146</v>
      </c>
      <c r="D1846" t="s">
        <v>37</v>
      </c>
      <c r="E1846" t="s">
        <v>38</v>
      </c>
      <c r="F1846" t="str">
        <f>"0001923"</f>
        <v>0001923</v>
      </c>
      <c r="G1846">
        <v>1</v>
      </c>
      <c r="H1846" t="str">
        <f>"00000000"</f>
        <v>00000000</v>
      </c>
      <c r="I1846" t="s">
        <v>39</v>
      </c>
      <c r="J1846"/>
      <c r="K1846">
        <v>305.08</v>
      </c>
      <c r="L1846">
        <v>0.0</v>
      </c>
      <c r="M1846"/>
      <c r="N1846"/>
      <c r="O1846">
        <v>54.92</v>
      </c>
      <c r="P1846">
        <v>0.0</v>
      </c>
      <c r="Q1846">
        <v>360.0</v>
      </c>
      <c r="R1846"/>
      <c r="S1846"/>
      <c r="T1846"/>
      <c r="U1846"/>
      <c r="V1846"/>
      <c r="W1846">
        <v>18</v>
      </c>
    </row>
    <row r="1847" spans="1:23">
      <c r="A1847"/>
      <c r="B1847" t="s">
        <v>146</v>
      </c>
      <c r="C1847" t="s">
        <v>146</v>
      </c>
      <c r="D1847" t="s">
        <v>37</v>
      </c>
      <c r="E1847" t="s">
        <v>38</v>
      </c>
      <c r="F1847" t="str">
        <f>"0001924"</f>
        <v>0001924</v>
      </c>
      <c r="G1847">
        <v>1</v>
      </c>
      <c r="H1847" t="str">
        <f>"00000000"</f>
        <v>00000000</v>
      </c>
      <c r="I1847" t="s">
        <v>39</v>
      </c>
      <c r="J1847"/>
      <c r="K1847">
        <v>372.88</v>
      </c>
      <c r="L1847">
        <v>0.0</v>
      </c>
      <c r="M1847"/>
      <c r="N1847"/>
      <c r="O1847">
        <v>67.12</v>
      </c>
      <c r="P1847">
        <v>0.0</v>
      </c>
      <c r="Q1847">
        <v>440.0</v>
      </c>
      <c r="R1847"/>
      <c r="S1847"/>
      <c r="T1847"/>
      <c r="U1847"/>
      <c r="V1847"/>
      <c r="W1847">
        <v>18</v>
      </c>
    </row>
    <row r="1848" spans="1:23">
      <c r="A1848"/>
      <c r="B1848" t="s">
        <v>146</v>
      </c>
      <c r="C1848" t="s">
        <v>146</v>
      </c>
      <c r="D1848" t="s">
        <v>37</v>
      </c>
      <c r="E1848" t="s">
        <v>38</v>
      </c>
      <c r="F1848" t="str">
        <f>"0001925"</f>
        <v>0001925</v>
      </c>
      <c r="G1848">
        <v>1</v>
      </c>
      <c r="H1848" t="str">
        <f>"00000000"</f>
        <v>00000000</v>
      </c>
      <c r="I1848" t="s">
        <v>39</v>
      </c>
      <c r="J1848"/>
      <c r="K1848">
        <v>305.08</v>
      </c>
      <c r="L1848">
        <v>0.0</v>
      </c>
      <c r="M1848"/>
      <c r="N1848"/>
      <c r="O1848">
        <v>54.92</v>
      </c>
      <c r="P1848">
        <v>0.0</v>
      </c>
      <c r="Q1848">
        <v>360.0</v>
      </c>
      <c r="R1848"/>
      <c r="S1848"/>
      <c r="T1848"/>
      <c r="U1848"/>
      <c r="V1848"/>
      <c r="W1848">
        <v>18</v>
      </c>
    </row>
    <row r="1849" spans="1:23">
      <c r="A1849"/>
      <c r="B1849" t="s">
        <v>146</v>
      </c>
      <c r="C1849" t="s">
        <v>146</v>
      </c>
      <c r="D1849" t="s">
        <v>37</v>
      </c>
      <c r="E1849" t="s">
        <v>38</v>
      </c>
      <c r="F1849" t="str">
        <f>"0001926"</f>
        <v>0001926</v>
      </c>
      <c r="G1849">
        <v>1</v>
      </c>
      <c r="H1849" t="str">
        <f>"00000000"</f>
        <v>00000000</v>
      </c>
      <c r="I1849" t="s">
        <v>39</v>
      </c>
      <c r="J1849"/>
      <c r="K1849">
        <v>305.08</v>
      </c>
      <c r="L1849">
        <v>0.0</v>
      </c>
      <c r="M1849"/>
      <c r="N1849"/>
      <c r="O1849">
        <v>54.92</v>
      </c>
      <c r="P1849">
        <v>0.0</v>
      </c>
      <c r="Q1849">
        <v>360.0</v>
      </c>
      <c r="R1849"/>
      <c r="S1849"/>
      <c r="T1849"/>
      <c r="U1849"/>
      <c r="V1849"/>
      <c r="W1849">
        <v>18</v>
      </c>
    </row>
    <row r="1850" spans="1:23">
      <c r="A1850"/>
      <c r="B1850" t="s">
        <v>146</v>
      </c>
      <c r="C1850" t="s">
        <v>146</v>
      </c>
      <c r="D1850" t="s">
        <v>37</v>
      </c>
      <c r="E1850" t="s">
        <v>38</v>
      </c>
      <c r="F1850" t="str">
        <f>"0001927"</f>
        <v>0001927</v>
      </c>
      <c r="G1850">
        <v>1</v>
      </c>
      <c r="H1850" t="str">
        <f>"00000000"</f>
        <v>00000000</v>
      </c>
      <c r="I1850" t="s">
        <v>39</v>
      </c>
      <c r="J1850"/>
      <c r="K1850">
        <v>474.58</v>
      </c>
      <c r="L1850">
        <v>0.0</v>
      </c>
      <c r="M1850"/>
      <c r="N1850"/>
      <c r="O1850">
        <v>85.42</v>
      </c>
      <c r="P1850">
        <v>0.0</v>
      </c>
      <c r="Q1850">
        <v>560.0</v>
      </c>
      <c r="R1850"/>
      <c r="S1850"/>
      <c r="T1850"/>
      <c r="U1850"/>
      <c r="V1850"/>
      <c r="W1850">
        <v>18</v>
      </c>
    </row>
    <row r="1851" spans="1:23">
      <c r="A1851"/>
      <c r="B1851" t="s">
        <v>146</v>
      </c>
      <c r="C1851" t="s">
        <v>146</v>
      </c>
      <c r="D1851" t="s">
        <v>37</v>
      </c>
      <c r="E1851" t="s">
        <v>38</v>
      </c>
      <c r="F1851" t="str">
        <f>"0001928"</f>
        <v>0001928</v>
      </c>
      <c r="G1851">
        <v>1</v>
      </c>
      <c r="H1851" t="str">
        <f>"00000000"</f>
        <v>00000000</v>
      </c>
      <c r="I1851" t="s">
        <v>39</v>
      </c>
      <c r="J1851"/>
      <c r="K1851">
        <v>266.95</v>
      </c>
      <c r="L1851">
        <v>0.0</v>
      </c>
      <c r="M1851"/>
      <c r="N1851"/>
      <c r="O1851">
        <v>48.05</v>
      </c>
      <c r="P1851">
        <v>0.0</v>
      </c>
      <c r="Q1851">
        <v>315.0</v>
      </c>
      <c r="R1851"/>
      <c r="S1851"/>
      <c r="T1851"/>
      <c r="U1851"/>
      <c r="V1851"/>
      <c r="W1851">
        <v>18</v>
      </c>
    </row>
    <row r="1852" spans="1:23">
      <c r="A1852"/>
      <c r="B1852" t="s">
        <v>146</v>
      </c>
      <c r="C1852" t="s">
        <v>146</v>
      </c>
      <c r="D1852" t="s">
        <v>37</v>
      </c>
      <c r="E1852" t="s">
        <v>38</v>
      </c>
      <c r="F1852" t="str">
        <f>"0001929"</f>
        <v>0001929</v>
      </c>
      <c r="G1852">
        <v>1</v>
      </c>
      <c r="H1852" t="str">
        <f>"00000000"</f>
        <v>00000000</v>
      </c>
      <c r="I1852" t="s">
        <v>39</v>
      </c>
      <c r="J1852"/>
      <c r="K1852">
        <v>406.78</v>
      </c>
      <c r="L1852">
        <v>0.0</v>
      </c>
      <c r="M1852"/>
      <c r="N1852"/>
      <c r="O1852">
        <v>73.22</v>
      </c>
      <c r="P1852">
        <v>0.0</v>
      </c>
      <c r="Q1852">
        <v>480.0</v>
      </c>
      <c r="R1852"/>
      <c r="S1852"/>
      <c r="T1852"/>
      <c r="U1852"/>
      <c r="V1852"/>
      <c r="W1852">
        <v>18</v>
      </c>
    </row>
    <row r="1853" spans="1:23">
      <c r="A1853"/>
      <c r="B1853" t="s">
        <v>146</v>
      </c>
      <c r="C1853" t="s">
        <v>146</v>
      </c>
      <c r="D1853" t="s">
        <v>37</v>
      </c>
      <c r="E1853" t="s">
        <v>38</v>
      </c>
      <c r="F1853" t="str">
        <f>"0001930"</f>
        <v>0001930</v>
      </c>
      <c r="G1853">
        <v>1</v>
      </c>
      <c r="H1853" t="str">
        <f>"00000000"</f>
        <v>00000000</v>
      </c>
      <c r="I1853" t="s">
        <v>39</v>
      </c>
      <c r="J1853"/>
      <c r="K1853">
        <v>211.86</v>
      </c>
      <c r="L1853">
        <v>0.0</v>
      </c>
      <c r="M1853"/>
      <c r="N1853"/>
      <c r="O1853">
        <v>38.14</v>
      </c>
      <c r="P1853">
        <v>0.0</v>
      </c>
      <c r="Q1853">
        <v>250.0</v>
      </c>
      <c r="R1853"/>
      <c r="S1853"/>
      <c r="T1853"/>
      <c r="U1853"/>
      <c r="V1853"/>
      <c r="W1853">
        <v>18</v>
      </c>
    </row>
    <row r="1854" spans="1:23">
      <c r="A1854"/>
      <c r="B1854" t="s">
        <v>146</v>
      </c>
      <c r="C1854" t="s">
        <v>146</v>
      </c>
      <c r="D1854" t="s">
        <v>37</v>
      </c>
      <c r="E1854" t="s">
        <v>38</v>
      </c>
      <c r="F1854" t="str">
        <f>"0001931"</f>
        <v>0001931</v>
      </c>
      <c r="G1854">
        <v>1</v>
      </c>
      <c r="H1854" t="str">
        <f>"00000000"</f>
        <v>00000000</v>
      </c>
      <c r="I1854" t="s">
        <v>39</v>
      </c>
      <c r="J1854"/>
      <c r="K1854">
        <v>381.36</v>
      </c>
      <c r="L1854">
        <v>0.0</v>
      </c>
      <c r="M1854"/>
      <c r="N1854"/>
      <c r="O1854">
        <v>68.64</v>
      </c>
      <c r="P1854">
        <v>0.0</v>
      </c>
      <c r="Q1854">
        <v>450.0</v>
      </c>
      <c r="R1854"/>
      <c r="S1854"/>
      <c r="T1854"/>
      <c r="U1854"/>
      <c r="V1854"/>
      <c r="W1854">
        <v>18</v>
      </c>
    </row>
    <row r="1855" spans="1:23">
      <c r="A1855"/>
      <c r="B1855" t="s">
        <v>146</v>
      </c>
      <c r="C1855" t="s">
        <v>146</v>
      </c>
      <c r="D1855" t="s">
        <v>37</v>
      </c>
      <c r="E1855" t="s">
        <v>38</v>
      </c>
      <c r="F1855" t="str">
        <f>"0001932"</f>
        <v>0001932</v>
      </c>
      <c r="G1855">
        <v>1</v>
      </c>
      <c r="H1855" t="str">
        <f>"00000000"</f>
        <v>00000000</v>
      </c>
      <c r="I1855" t="s">
        <v>39</v>
      </c>
      <c r="J1855"/>
      <c r="K1855">
        <v>284.75</v>
      </c>
      <c r="L1855">
        <v>0.0</v>
      </c>
      <c r="M1855"/>
      <c r="N1855"/>
      <c r="O1855">
        <v>51.25</v>
      </c>
      <c r="P1855">
        <v>0.0</v>
      </c>
      <c r="Q1855">
        <v>336.0</v>
      </c>
      <c r="R1855"/>
      <c r="S1855"/>
      <c r="T1855"/>
      <c r="U1855"/>
      <c r="V1855"/>
      <c r="W1855">
        <v>18</v>
      </c>
    </row>
    <row r="1856" spans="1:23">
      <c r="A1856"/>
      <c r="B1856" t="s">
        <v>146</v>
      </c>
      <c r="C1856" t="s">
        <v>146</v>
      </c>
      <c r="D1856" t="s">
        <v>37</v>
      </c>
      <c r="E1856" t="s">
        <v>38</v>
      </c>
      <c r="F1856" t="str">
        <f>"0001933"</f>
        <v>0001933</v>
      </c>
      <c r="G1856">
        <v>1</v>
      </c>
      <c r="H1856" t="str">
        <f>"00000000"</f>
        <v>00000000</v>
      </c>
      <c r="I1856" t="s">
        <v>39</v>
      </c>
      <c r="J1856"/>
      <c r="K1856">
        <v>406.78</v>
      </c>
      <c r="L1856">
        <v>0.0</v>
      </c>
      <c r="M1856"/>
      <c r="N1856"/>
      <c r="O1856">
        <v>73.22</v>
      </c>
      <c r="P1856">
        <v>0.0</v>
      </c>
      <c r="Q1856">
        <v>480.0</v>
      </c>
      <c r="R1856"/>
      <c r="S1856"/>
      <c r="T1856"/>
      <c r="U1856"/>
      <c r="V1856"/>
      <c r="W1856">
        <v>18</v>
      </c>
    </row>
    <row r="1857" spans="1:23">
      <c r="A1857"/>
      <c r="B1857" t="s">
        <v>146</v>
      </c>
      <c r="C1857" t="s">
        <v>146</v>
      </c>
      <c r="D1857" t="s">
        <v>37</v>
      </c>
      <c r="E1857" t="s">
        <v>38</v>
      </c>
      <c r="F1857" t="str">
        <f>"0001934"</f>
        <v>0001934</v>
      </c>
      <c r="G1857">
        <v>1</v>
      </c>
      <c r="H1857" t="str">
        <f>"00000000"</f>
        <v>00000000</v>
      </c>
      <c r="I1857" t="s">
        <v>39</v>
      </c>
      <c r="J1857"/>
      <c r="K1857">
        <v>372.88</v>
      </c>
      <c r="L1857">
        <v>0.0</v>
      </c>
      <c r="M1857"/>
      <c r="N1857"/>
      <c r="O1857">
        <v>67.12</v>
      </c>
      <c r="P1857">
        <v>0.0</v>
      </c>
      <c r="Q1857">
        <v>440.0</v>
      </c>
      <c r="R1857"/>
      <c r="S1857"/>
      <c r="T1857"/>
      <c r="U1857"/>
      <c r="V1857"/>
      <c r="W1857">
        <v>18</v>
      </c>
    </row>
    <row r="1858" spans="1:23">
      <c r="A1858"/>
      <c r="B1858" t="s">
        <v>146</v>
      </c>
      <c r="C1858" t="s">
        <v>146</v>
      </c>
      <c r="D1858" t="s">
        <v>37</v>
      </c>
      <c r="E1858" t="s">
        <v>38</v>
      </c>
      <c r="F1858" t="str">
        <f>"0001935"</f>
        <v>0001935</v>
      </c>
      <c r="G1858">
        <v>1</v>
      </c>
      <c r="H1858" t="str">
        <f>"00000000"</f>
        <v>00000000</v>
      </c>
      <c r="I1858" t="s">
        <v>39</v>
      </c>
      <c r="J1858"/>
      <c r="K1858">
        <v>284.75</v>
      </c>
      <c r="L1858">
        <v>0.0</v>
      </c>
      <c r="M1858"/>
      <c r="N1858"/>
      <c r="O1858">
        <v>51.25</v>
      </c>
      <c r="P1858">
        <v>0.0</v>
      </c>
      <c r="Q1858">
        <v>336.0</v>
      </c>
      <c r="R1858"/>
      <c r="S1858"/>
      <c r="T1858"/>
      <c r="U1858"/>
      <c r="V1858"/>
      <c r="W1858">
        <v>18</v>
      </c>
    </row>
    <row r="1859" spans="1:23">
      <c r="A1859"/>
      <c r="B1859" t="s">
        <v>146</v>
      </c>
      <c r="C1859" t="s">
        <v>146</v>
      </c>
      <c r="D1859" t="s">
        <v>37</v>
      </c>
      <c r="E1859" t="s">
        <v>38</v>
      </c>
      <c r="F1859" t="str">
        <f>"0001936"</f>
        <v>0001936</v>
      </c>
      <c r="G1859">
        <v>1</v>
      </c>
      <c r="H1859" t="str">
        <f>"00000000"</f>
        <v>00000000</v>
      </c>
      <c r="I1859" t="s">
        <v>39</v>
      </c>
      <c r="J1859"/>
      <c r="K1859">
        <v>254.24</v>
      </c>
      <c r="L1859">
        <v>0.0</v>
      </c>
      <c r="M1859"/>
      <c r="N1859"/>
      <c r="O1859">
        <v>45.76</v>
      </c>
      <c r="P1859">
        <v>0.0</v>
      </c>
      <c r="Q1859">
        <v>300.0</v>
      </c>
      <c r="R1859"/>
      <c r="S1859"/>
      <c r="T1859"/>
      <c r="U1859"/>
      <c r="V1859"/>
      <c r="W1859">
        <v>18</v>
      </c>
    </row>
    <row r="1860" spans="1:23">
      <c r="A1860"/>
      <c r="B1860" t="s">
        <v>146</v>
      </c>
      <c r="C1860" t="s">
        <v>146</v>
      </c>
      <c r="D1860" t="s">
        <v>37</v>
      </c>
      <c r="E1860" t="s">
        <v>38</v>
      </c>
      <c r="F1860" t="str">
        <f>"0001937"</f>
        <v>0001937</v>
      </c>
      <c r="G1860">
        <v>1</v>
      </c>
      <c r="H1860" t="str">
        <f>"00000000"</f>
        <v>00000000</v>
      </c>
      <c r="I1860" t="s">
        <v>39</v>
      </c>
      <c r="J1860"/>
      <c r="K1860">
        <v>372.88</v>
      </c>
      <c r="L1860">
        <v>0.0</v>
      </c>
      <c r="M1860"/>
      <c r="N1860"/>
      <c r="O1860">
        <v>67.12</v>
      </c>
      <c r="P1860">
        <v>0.0</v>
      </c>
      <c r="Q1860">
        <v>440.0</v>
      </c>
      <c r="R1860"/>
      <c r="S1860"/>
      <c r="T1860"/>
      <c r="U1860"/>
      <c r="V1860"/>
      <c r="W1860">
        <v>18</v>
      </c>
    </row>
    <row r="1861" spans="1:23">
      <c r="A1861"/>
      <c r="B1861" t="s">
        <v>146</v>
      </c>
      <c r="C1861" t="s">
        <v>146</v>
      </c>
      <c r="D1861" t="s">
        <v>37</v>
      </c>
      <c r="E1861" t="s">
        <v>38</v>
      </c>
      <c r="F1861" t="str">
        <f>"0001938"</f>
        <v>0001938</v>
      </c>
      <c r="G1861">
        <v>1</v>
      </c>
      <c r="H1861" t="str">
        <f>"00000000"</f>
        <v>00000000</v>
      </c>
      <c r="I1861" t="s">
        <v>39</v>
      </c>
      <c r="J1861"/>
      <c r="K1861">
        <v>372.88</v>
      </c>
      <c r="L1861">
        <v>0.0</v>
      </c>
      <c r="M1861"/>
      <c r="N1861"/>
      <c r="O1861">
        <v>67.12</v>
      </c>
      <c r="P1861">
        <v>0.0</v>
      </c>
      <c r="Q1861">
        <v>440.0</v>
      </c>
      <c r="R1861"/>
      <c r="S1861"/>
      <c r="T1861"/>
      <c r="U1861"/>
      <c r="V1861"/>
      <c r="W1861">
        <v>18</v>
      </c>
    </row>
    <row r="1862" spans="1:23">
      <c r="A1862"/>
      <c r="B1862" t="s">
        <v>146</v>
      </c>
      <c r="C1862" t="s">
        <v>146</v>
      </c>
      <c r="D1862" t="s">
        <v>37</v>
      </c>
      <c r="E1862" t="s">
        <v>38</v>
      </c>
      <c r="F1862" t="str">
        <f>"0001939"</f>
        <v>0001939</v>
      </c>
      <c r="G1862">
        <v>1</v>
      </c>
      <c r="H1862" t="str">
        <f>"00000000"</f>
        <v>00000000</v>
      </c>
      <c r="I1862" t="s">
        <v>39</v>
      </c>
      <c r="J1862"/>
      <c r="K1862">
        <v>279.66</v>
      </c>
      <c r="L1862">
        <v>0.0</v>
      </c>
      <c r="M1862"/>
      <c r="N1862"/>
      <c r="O1862">
        <v>50.34</v>
      </c>
      <c r="P1862">
        <v>0.0</v>
      </c>
      <c r="Q1862">
        <v>330.0</v>
      </c>
      <c r="R1862"/>
      <c r="S1862"/>
      <c r="T1862"/>
      <c r="U1862"/>
      <c r="V1862"/>
      <c r="W1862">
        <v>18</v>
      </c>
    </row>
    <row r="1863" spans="1:23">
      <c r="A1863"/>
      <c r="B1863" t="s">
        <v>146</v>
      </c>
      <c r="C1863" t="s">
        <v>146</v>
      </c>
      <c r="D1863" t="s">
        <v>37</v>
      </c>
      <c r="E1863" t="s">
        <v>38</v>
      </c>
      <c r="F1863" t="str">
        <f>"0001940"</f>
        <v>0001940</v>
      </c>
      <c r="G1863">
        <v>1</v>
      </c>
      <c r="H1863" t="str">
        <f>"00000000"</f>
        <v>00000000</v>
      </c>
      <c r="I1863" t="s">
        <v>39</v>
      </c>
      <c r="J1863"/>
      <c r="K1863">
        <v>203.39</v>
      </c>
      <c r="L1863">
        <v>0.0</v>
      </c>
      <c r="M1863"/>
      <c r="N1863"/>
      <c r="O1863">
        <v>36.61</v>
      </c>
      <c r="P1863">
        <v>0.0</v>
      </c>
      <c r="Q1863">
        <v>240.0</v>
      </c>
      <c r="R1863"/>
      <c r="S1863"/>
      <c r="T1863"/>
      <c r="U1863"/>
      <c r="V1863"/>
      <c r="W1863">
        <v>18</v>
      </c>
    </row>
    <row r="1864" spans="1:23">
      <c r="A1864"/>
      <c r="B1864" t="s">
        <v>146</v>
      </c>
      <c r="C1864" t="s">
        <v>146</v>
      </c>
      <c r="D1864" t="s">
        <v>37</v>
      </c>
      <c r="E1864" t="s">
        <v>38</v>
      </c>
      <c r="F1864" t="str">
        <f>"0001941"</f>
        <v>0001941</v>
      </c>
      <c r="G1864">
        <v>1</v>
      </c>
      <c r="H1864" t="str">
        <f>"00000000"</f>
        <v>00000000</v>
      </c>
      <c r="I1864" t="s">
        <v>39</v>
      </c>
      <c r="J1864"/>
      <c r="K1864">
        <v>338.98</v>
      </c>
      <c r="L1864">
        <v>0.0</v>
      </c>
      <c r="M1864"/>
      <c r="N1864"/>
      <c r="O1864">
        <v>61.02</v>
      </c>
      <c r="P1864">
        <v>0.0</v>
      </c>
      <c r="Q1864">
        <v>400.0</v>
      </c>
      <c r="R1864"/>
      <c r="S1864"/>
      <c r="T1864"/>
      <c r="U1864"/>
      <c r="V1864"/>
      <c r="W1864">
        <v>18</v>
      </c>
    </row>
    <row r="1865" spans="1:23">
      <c r="A1865"/>
      <c r="B1865" t="s">
        <v>146</v>
      </c>
      <c r="C1865" t="s">
        <v>146</v>
      </c>
      <c r="D1865" t="s">
        <v>37</v>
      </c>
      <c r="E1865" t="s">
        <v>38</v>
      </c>
      <c r="F1865" t="str">
        <f>"0001942"</f>
        <v>0001942</v>
      </c>
      <c r="G1865">
        <v>1</v>
      </c>
      <c r="H1865" t="str">
        <f>"00000000"</f>
        <v>00000000</v>
      </c>
      <c r="I1865" t="s">
        <v>39</v>
      </c>
      <c r="J1865"/>
      <c r="K1865">
        <v>207.63</v>
      </c>
      <c r="L1865">
        <v>0.0</v>
      </c>
      <c r="M1865"/>
      <c r="N1865"/>
      <c r="O1865">
        <v>37.37</v>
      </c>
      <c r="P1865">
        <v>0.0</v>
      </c>
      <c r="Q1865">
        <v>245.0</v>
      </c>
      <c r="R1865"/>
      <c r="S1865"/>
      <c r="T1865"/>
      <c r="U1865"/>
      <c r="V1865"/>
      <c r="W1865">
        <v>18</v>
      </c>
    </row>
    <row r="1866" spans="1:23">
      <c r="A1866"/>
      <c r="B1866" t="s">
        <v>146</v>
      </c>
      <c r="C1866" t="s">
        <v>146</v>
      </c>
      <c r="D1866" t="s">
        <v>37</v>
      </c>
      <c r="E1866" t="s">
        <v>38</v>
      </c>
      <c r="F1866" t="str">
        <f>"0001943"</f>
        <v>0001943</v>
      </c>
      <c r="G1866">
        <v>1</v>
      </c>
      <c r="H1866" t="str">
        <f>"00000000"</f>
        <v>00000000</v>
      </c>
      <c r="I1866" t="s">
        <v>39</v>
      </c>
      <c r="J1866"/>
      <c r="K1866">
        <v>228.81</v>
      </c>
      <c r="L1866">
        <v>0.0</v>
      </c>
      <c r="M1866"/>
      <c r="N1866"/>
      <c r="O1866">
        <v>41.19</v>
      </c>
      <c r="P1866">
        <v>0.0</v>
      </c>
      <c r="Q1866">
        <v>270.0</v>
      </c>
      <c r="R1866"/>
      <c r="S1866"/>
      <c r="T1866"/>
      <c r="U1866"/>
      <c r="V1866"/>
      <c r="W1866">
        <v>18</v>
      </c>
    </row>
    <row r="1867" spans="1:23">
      <c r="A1867"/>
      <c r="B1867" t="s">
        <v>146</v>
      </c>
      <c r="C1867" t="s">
        <v>146</v>
      </c>
      <c r="D1867" t="s">
        <v>37</v>
      </c>
      <c r="E1867" t="s">
        <v>38</v>
      </c>
      <c r="F1867" t="str">
        <f>"0001944"</f>
        <v>0001944</v>
      </c>
      <c r="G1867">
        <v>1</v>
      </c>
      <c r="H1867" t="str">
        <f>"00000000"</f>
        <v>00000000</v>
      </c>
      <c r="I1867" t="s">
        <v>39</v>
      </c>
      <c r="J1867"/>
      <c r="K1867">
        <v>266.95</v>
      </c>
      <c r="L1867">
        <v>0.0</v>
      </c>
      <c r="M1867"/>
      <c r="N1867"/>
      <c r="O1867">
        <v>48.05</v>
      </c>
      <c r="P1867">
        <v>0.0</v>
      </c>
      <c r="Q1867">
        <v>315.0</v>
      </c>
      <c r="R1867"/>
      <c r="S1867"/>
      <c r="T1867"/>
      <c r="U1867"/>
      <c r="V1867"/>
      <c r="W1867">
        <v>18</v>
      </c>
    </row>
    <row r="1868" spans="1:23">
      <c r="A1868"/>
      <c r="B1868" t="s">
        <v>146</v>
      </c>
      <c r="C1868" t="s">
        <v>146</v>
      </c>
      <c r="D1868" t="s">
        <v>37</v>
      </c>
      <c r="E1868" t="s">
        <v>38</v>
      </c>
      <c r="F1868" t="str">
        <f>"0001945"</f>
        <v>0001945</v>
      </c>
      <c r="G1868">
        <v>1</v>
      </c>
      <c r="H1868" t="str">
        <f>"00000000"</f>
        <v>00000000</v>
      </c>
      <c r="I1868" t="s">
        <v>39</v>
      </c>
      <c r="J1868"/>
      <c r="K1868">
        <v>203.39</v>
      </c>
      <c r="L1868">
        <v>0.0</v>
      </c>
      <c r="M1868"/>
      <c r="N1868"/>
      <c r="O1868">
        <v>36.61</v>
      </c>
      <c r="P1868">
        <v>0.0</v>
      </c>
      <c r="Q1868">
        <v>240.0</v>
      </c>
      <c r="R1868"/>
      <c r="S1868"/>
      <c r="T1868"/>
      <c r="U1868"/>
      <c r="V1868"/>
      <c r="W1868">
        <v>18</v>
      </c>
    </row>
    <row r="1869" spans="1:23">
      <c r="A1869"/>
      <c r="B1869" t="s">
        <v>146</v>
      </c>
      <c r="C1869" t="s">
        <v>146</v>
      </c>
      <c r="D1869" t="s">
        <v>37</v>
      </c>
      <c r="E1869" t="s">
        <v>38</v>
      </c>
      <c r="F1869" t="str">
        <f>"0001946"</f>
        <v>0001946</v>
      </c>
      <c r="G1869">
        <v>1</v>
      </c>
      <c r="H1869" t="str">
        <f>"00000000"</f>
        <v>00000000</v>
      </c>
      <c r="I1869" t="s">
        <v>39</v>
      </c>
      <c r="J1869"/>
      <c r="K1869">
        <v>317.8</v>
      </c>
      <c r="L1869">
        <v>0.0</v>
      </c>
      <c r="M1869"/>
      <c r="N1869"/>
      <c r="O1869">
        <v>57.2</v>
      </c>
      <c r="P1869">
        <v>0.0</v>
      </c>
      <c r="Q1869">
        <v>375.0</v>
      </c>
      <c r="R1869"/>
      <c r="S1869"/>
      <c r="T1869"/>
      <c r="U1869"/>
      <c r="V1869"/>
      <c r="W1869">
        <v>18</v>
      </c>
    </row>
    <row r="1870" spans="1:23">
      <c r="A1870"/>
      <c r="B1870" t="s">
        <v>146</v>
      </c>
      <c r="C1870" t="s">
        <v>146</v>
      </c>
      <c r="D1870" t="s">
        <v>37</v>
      </c>
      <c r="E1870" t="s">
        <v>38</v>
      </c>
      <c r="F1870" t="str">
        <f>"0001947"</f>
        <v>0001947</v>
      </c>
      <c r="G1870">
        <v>1</v>
      </c>
      <c r="H1870" t="str">
        <f>"00000000"</f>
        <v>00000000</v>
      </c>
      <c r="I1870" t="s">
        <v>39</v>
      </c>
      <c r="J1870"/>
      <c r="K1870">
        <v>325.42</v>
      </c>
      <c r="L1870">
        <v>0.0</v>
      </c>
      <c r="M1870"/>
      <c r="N1870"/>
      <c r="O1870">
        <v>58.58</v>
      </c>
      <c r="P1870">
        <v>0.0</v>
      </c>
      <c r="Q1870">
        <v>384.0</v>
      </c>
      <c r="R1870"/>
      <c r="S1870"/>
      <c r="T1870"/>
      <c r="U1870"/>
      <c r="V1870"/>
      <c r="W1870">
        <v>18</v>
      </c>
    </row>
    <row r="1871" spans="1:23">
      <c r="A1871"/>
      <c r="B1871" t="s">
        <v>146</v>
      </c>
      <c r="C1871" t="s">
        <v>146</v>
      </c>
      <c r="D1871" t="s">
        <v>37</v>
      </c>
      <c r="E1871" t="s">
        <v>38</v>
      </c>
      <c r="F1871" t="str">
        <f>"0001948"</f>
        <v>0001948</v>
      </c>
      <c r="G1871">
        <v>1</v>
      </c>
      <c r="H1871" t="str">
        <f>"00000000"</f>
        <v>00000000</v>
      </c>
      <c r="I1871" t="s">
        <v>39</v>
      </c>
      <c r="J1871"/>
      <c r="K1871">
        <v>406.78</v>
      </c>
      <c r="L1871">
        <v>0.0</v>
      </c>
      <c r="M1871"/>
      <c r="N1871"/>
      <c r="O1871">
        <v>73.22</v>
      </c>
      <c r="P1871">
        <v>0.0</v>
      </c>
      <c r="Q1871">
        <v>480.0</v>
      </c>
      <c r="R1871"/>
      <c r="S1871"/>
      <c r="T1871"/>
      <c r="U1871"/>
      <c r="V1871"/>
      <c r="W1871">
        <v>18</v>
      </c>
    </row>
    <row r="1872" spans="1:23">
      <c r="A1872"/>
      <c r="B1872" t="s">
        <v>146</v>
      </c>
      <c r="C1872" t="s">
        <v>146</v>
      </c>
      <c r="D1872" t="s">
        <v>37</v>
      </c>
      <c r="E1872" t="s">
        <v>38</v>
      </c>
      <c r="F1872" t="str">
        <f>"0001949"</f>
        <v>0001949</v>
      </c>
      <c r="G1872">
        <v>1</v>
      </c>
      <c r="H1872" t="str">
        <f>"00000000"</f>
        <v>00000000</v>
      </c>
      <c r="I1872" t="s">
        <v>39</v>
      </c>
      <c r="J1872"/>
      <c r="K1872">
        <v>189.83</v>
      </c>
      <c r="L1872">
        <v>0.0</v>
      </c>
      <c r="M1872"/>
      <c r="N1872"/>
      <c r="O1872">
        <v>34.17</v>
      </c>
      <c r="P1872">
        <v>0.0</v>
      </c>
      <c r="Q1872">
        <v>224.0</v>
      </c>
      <c r="R1872"/>
      <c r="S1872"/>
      <c r="T1872"/>
      <c r="U1872"/>
      <c r="V1872"/>
      <c r="W1872">
        <v>18</v>
      </c>
    </row>
    <row r="1873" spans="1:23">
      <c r="A1873"/>
      <c r="B1873" t="s">
        <v>146</v>
      </c>
      <c r="C1873" t="s">
        <v>146</v>
      </c>
      <c r="D1873" t="s">
        <v>37</v>
      </c>
      <c r="E1873" t="s">
        <v>38</v>
      </c>
      <c r="F1873" t="str">
        <f>"0001950"</f>
        <v>0001950</v>
      </c>
      <c r="G1873">
        <v>1</v>
      </c>
      <c r="H1873" t="str">
        <f>"00000000"</f>
        <v>00000000</v>
      </c>
      <c r="I1873" t="s">
        <v>39</v>
      </c>
      <c r="J1873"/>
      <c r="K1873">
        <v>474.58</v>
      </c>
      <c r="L1873">
        <v>0.0</v>
      </c>
      <c r="M1873"/>
      <c r="N1873"/>
      <c r="O1873">
        <v>85.42</v>
      </c>
      <c r="P1873">
        <v>0.0</v>
      </c>
      <c r="Q1873">
        <v>560.0</v>
      </c>
      <c r="R1873"/>
      <c r="S1873"/>
      <c r="T1873"/>
      <c r="U1873"/>
      <c r="V1873"/>
      <c r="W1873">
        <v>18</v>
      </c>
    </row>
    <row r="1874" spans="1:23">
      <c r="A1874"/>
      <c r="B1874" t="s">
        <v>146</v>
      </c>
      <c r="C1874" t="s">
        <v>146</v>
      </c>
      <c r="D1874" t="s">
        <v>37</v>
      </c>
      <c r="E1874" t="s">
        <v>38</v>
      </c>
      <c r="F1874" t="str">
        <f>"0001951"</f>
        <v>0001951</v>
      </c>
      <c r="G1874">
        <v>1</v>
      </c>
      <c r="H1874" t="str">
        <f>"00000000"</f>
        <v>00000000</v>
      </c>
      <c r="I1874" t="s">
        <v>39</v>
      </c>
      <c r="J1874"/>
      <c r="K1874">
        <v>237.29</v>
      </c>
      <c r="L1874">
        <v>0.0</v>
      </c>
      <c r="M1874"/>
      <c r="N1874"/>
      <c r="O1874">
        <v>42.71</v>
      </c>
      <c r="P1874">
        <v>0.0</v>
      </c>
      <c r="Q1874">
        <v>280.0</v>
      </c>
      <c r="R1874"/>
      <c r="S1874"/>
      <c r="T1874"/>
      <c r="U1874"/>
      <c r="V1874"/>
      <c r="W1874">
        <v>18</v>
      </c>
    </row>
    <row r="1875" spans="1:23">
      <c r="A1875"/>
      <c r="B1875" t="s">
        <v>146</v>
      </c>
      <c r="C1875" t="s">
        <v>146</v>
      </c>
      <c r="D1875" t="s">
        <v>37</v>
      </c>
      <c r="E1875" t="s">
        <v>38</v>
      </c>
      <c r="F1875" t="str">
        <f>"0001952"</f>
        <v>0001952</v>
      </c>
      <c r="G1875">
        <v>1</v>
      </c>
      <c r="H1875" t="str">
        <f>"00000000"</f>
        <v>00000000</v>
      </c>
      <c r="I1875" t="s">
        <v>39</v>
      </c>
      <c r="J1875"/>
      <c r="K1875">
        <v>533.9</v>
      </c>
      <c r="L1875">
        <v>0.0</v>
      </c>
      <c r="M1875"/>
      <c r="N1875"/>
      <c r="O1875">
        <v>96.1</v>
      </c>
      <c r="P1875">
        <v>0.0</v>
      </c>
      <c r="Q1875">
        <v>630.0</v>
      </c>
      <c r="R1875"/>
      <c r="S1875"/>
      <c r="T1875"/>
      <c r="U1875"/>
      <c r="V1875"/>
      <c r="W1875">
        <v>18</v>
      </c>
    </row>
    <row r="1876" spans="1:23">
      <c r="A1876"/>
      <c r="B1876" t="s">
        <v>146</v>
      </c>
      <c r="C1876" t="s">
        <v>146</v>
      </c>
      <c r="D1876" t="s">
        <v>37</v>
      </c>
      <c r="E1876" t="s">
        <v>38</v>
      </c>
      <c r="F1876" t="str">
        <f>"0001953"</f>
        <v>0001953</v>
      </c>
      <c r="G1876">
        <v>1</v>
      </c>
      <c r="H1876" t="str">
        <f>"00000000"</f>
        <v>00000000</v>
      </c>
      <c r="I1876" t="s">
        <v>39</v>
      </c>
      <c r="J1876"/>
      <c r="K1876">
        <v>474.58</v>
      </c>
      <c r="L1876">
        <v>0.0</v>
      </c>
      <c r="M1876"/>
      <c r="N1876"/>
      <c r="O1876">
        <v>85.42</v>
      </c>
      <c r="P1876">
        <v>0.0</v>
      </c>
      <c r="Q1876">
        <v>560.0</v>
      </c>
      <c r="R1876"/>
      <c r="S1876"/>
      <c r="T1876"/>
      <c r="U1876"/>
      <c r="V1876"/>
      <c r="W1876">
        <v>18</v>
      </c>
    </row>
    <row r="1877" spans="1:23">
      <c r="A1877"/>
      <c r="B1877" t="s">
        <v>146</v>
      </c>
      <c r="C1877" t="s">
        <v>146</v>
      </c>
      <c r="D1877" t="s">
        <v>37</v>
      </c>
      <c r="E1877" t="s">
        <v>38</v>
      </c>
      <c r="F1877" t="str">
        <f>"0001954"</f>
        <v>0001954</v>
      </c>
      <c r="G1877">
        <v>1</v>
      </c>
      <c r="H1877" t="str">
        <f>"00000000"</f>
        <v>00000000</v>
      </c>
      <c r="I1877" t="s">
        <v>39</v>
      </c>
      <c r="J1877"/>
      <c r="K1877">
        <v>406.78</v>
      </c>
      <c r="L1877">
        <v>0.0</v>
      </c>
      <c r="M1877"/>
      <c r="N1877"/>
      <c r="O1877">
        <v>73.22</v>
      </c>
      <c r="P1877">
        <v>0.0</v>
      </c>
      <c r="Q1877">
        <v>480.0</v>
      </c>
      <c r="R1877"/>
      <c r="S1877"/>
      <c r="T1877"/>
      <c r="U1877"/>
      <c r="V1877"/>
      <c r="W1877">
        <v>18</v>
      </c>
    </row>
    <row r="1878" spans="1:23">
      <c r="A1878"/>
      <c r="B1878" t="s">
        <v>146</v>
      </c>
      <c r="C1878" t="s">
        <v>146</v>
      </c>
      <c r="D1878" t="s">
        <v>37</v>
      </c>
      <c r="E1878" t="s">
        <v>38</v>
      </c>
      <c r="F1878" t="str">
        <f>"0001955"</f>
        <v>0001955</v>
      </c>
      <c r="G1878">
        <v>1</v>
      </c>
      <c r="H1878" t="str">
        <f>"00000000"</f>
        <v>00000000</v>
      </c>
      <c r="I1878" t="s">
        <v>39</v>
      </c>
      <c r="J1878"/>
      <c r="K1878">
        <v>542.37</v>
      </c>
      <c r="L1878">
        <v>0.0</v>
      </c>
      <c r="M1878"/>
      <c r="N1878"/>
      <c r="O1878">
        <v>97.63</v>
      </c>
      <c r="P1878">
        <v>0.0</v>
      </c>
      <c r="Q1878">
        <v>640.0</v>
      </c>
      <c r="R1878"/>
      <c r="S1878"/>
      <c r="T1878"/>
      <c r="U1878"/>
      <c r="V1878"/>
      <c r="W1878">
        <v>18</v>
      </c>
    </row>
    <row r="1879" spans="1:23">
      <c r="A1879"/>
      <c r="B1879" t="s">
        <v>146</v>
      </c>
      <c r="C1879" t="s">
        <v>146</v>
      </c>
      <c r="D1879" t="s">
        <v>37</v>
      </c>
      <c r="E1879" t="s">
        <v>38</v>
      </c>
      <c r="F1879" t="str">
        <f>"0001956"</f>
        <v>0001956</v>
      </c>
      <c r="G1879">
        <v>1</v>
      </c>
      <c r="H1879" t="str">
        <f>"00000000"</f>
        <v>00000000</v>
      </c>
      <c r="I1879" t="s">
        <v>39</v>
      </c>
      <c r="J1879"/>
      <c r="K1879">
        <v>474.58</v>
      </c>
      <c r="L1879">
        <v>0.0</v>
      </c>
      <c r="M1879"/>
      <c r="N1879"/>
      <c r="O1879">
        <v>85.42</v>
      </c>
      <c r="P1879">
        <v>0.0</v>
      </c>
      <c r="Q1879">
        <v>560.0</v>
      </c>
      <c r="R1879"/>
      <c r="S1879"/>
      <c r="T1879"/>
      <c r="U1879"/>
      <c r="V1879"/>
      <c r="W1879">
        <v>18</v>
      </c>
    </row>
    <row r="1880" spans="1:23">
      <c r="A1880"/>
      <c r="B1880" t="s">
        <v>146</v>
      </c>
      <c r="C1880" t="s">
        <v>146</v>
      </c>
      <c r="D1880" t="s">
        <v>37</v>
      </c>
      <c r="E1880" t="s">
        <v>38</v>
      </c>
      <c r="F1880" t="str">
        <f>"0001957"</f>
        <v>0001957</v>
      </c>
      <c r="G1880">
        <v>1</v>
      </c>
      <c r="H1880" t="str">
        <f>"00000000"</f>
        <v>00000000</v>
      </c>
      <c r="I1880" t="s">
        <v>39</v>
      </c>
      <c r="J1880"/>
      <c r="K1880">
        <v>372.88</v>
      </c>
      <c r="L1880">
        <v>0.0</v>
      </c>
      <c r="M1880"/>
      <c r="N1880"/>
      <c r="O1880">
        <v>67.12</v>
      </c>
      <c r="P1880">
        <v>0.0</v>
      </c>
      <c r="Q1880">
        <v>440.0</v>
      </c>
      <c r="R1880"/>
      <c r="S1880"/>
      <c r="T1880"/>
      <c r="U1880"/>
      <c r="V1880"/>
      <c r="W1880">
        <v>18</v>
      </c>
    </row>
    <row r="1881" spans="1:23">
      <c r="A1881"/>
      <c r="B1881" t="s">
        <v>146</v>
      </c>
      <c r="C1881" t="s">
        <v>146</v>
      </c>
      <c r="D1881" t="s">
        <v>37</v>
      </c>
      <c r="E1881" t="s">
        <v>38</v>
      </c>
      <c r="F1881" t="str">
        <f>"0001958"</f>
        <v>0001958</v>
      </c>
      <c r="G1881">
        <v>1</v>
      </c>
      <c r="H1881" t="str">
        <f>"00000000"</f>
        <v>00000000</v>
      </c>
      <c r="I1881" t="s">
        <v>39</v>
      </c>
      <c r="J1881"/>
      <c r="K1881">
        <v>440.68</v>
      </c>
      <c r="L1881">
        <v>0.0</v>
      </c>
      <c r="M1881"/>
      <c r="N1881"/>
      <c r="O1881">
        <v>79.32</v>
      </c>
      <c r="P1881">
        <v>0.0</v>
      </c>
      <c r="Q1881">
        <v>520.0</v>
      </c>
      <c r="R1881"/>
      <c r="S1881"/>
      <c r="T1881"/>
      <c r="U1881"/>
      <c r="V1881"/>
      <c r="W1881">
        <v>18</v>
      </c>
    </row>
    <row r="1882" spans="1:23">
      <c r="A1882"/>
      <c r="B1882" t="s">
        <v>146</v>
      </c>
      <c r="C1882" t="s">
        <v>146</v>
      </c>
      <c r="D1882" t="s">
        <v>37</v>
      </c>
      <c r="E1882" t="s">
        <v>38</v>
      </c>
      <c r="F1882" t="str">
        <f>"0001959"</f>
        <v>0001959</v>
      </c>
      <c r="G1882">
        <v>1</v>
      </c>
      <c r="H1882" t="str">
        <f>"00000000"</f>
        <v>00000000</v>
      </c>
      <c r="I1882" t="s">
        <v>39</v>
      </c>
      <c r="J1882"/>
      <c r="K1882">
        <v>284.75</v>
      </c>
      <c r="L1882">
        <v>0.0</v>
      </c>
      <c r="M1882"/>
      <c r="N1882"/>
      <c r="O1882">
        <v>51.25</v>
      </c>
      <c r="P1882">
        <v>0.0</v>
      </c>
      <c r="Q1882">
        <v>336.0</v>
      </c>
      <c r="R1882"/>
      <c r="S1882"/>
      <c r="T1882"/>
      <c r="U1882"/>
      <c r="V1882"/>
      <c r="W1882">
        <v>18</v>
      </c>
    </row>
    <row r="1883" spans="1:23">
      <c r="A1883"/>
      <c r="B1883" t="s">
        <v>146</v>
      </c>
      <c r="C1883" t="s">
        <v>146</v>
      </c>
      <c r="D1883" t="s">
        <v>37</v>
      </c>
      <c r="E1883" t="s">
        <v>38</v>
      </c>
      <c r="F1883" t="str">
        <f>"0001960"</f>
        <v>0001960</v>
      </c>
      <c r="G1883">
        <v>1</v>
      </c>
      <c r="H1883" t="str">
        <f>"00000000"</f>
        <v>00000000</v>
      </c>
      <c r="I1883" t="s">
        <v>39</v>
      </c>
      <c r="J1883"/>
      <c r="K1883">
        <v>190.68</v>
      </c>
      <c r="L1883">
        <v>0.0</v>
      </c>
      <c r="M1883"/>
      <c r="N1883"/>
      <c r="O1883">
        <v>34.32</v>
      </c>
      <c r="P1883">
        <v>0.0</v>
      </c>
      <c r="Q1883">
        <v>225.0</v>
      </c>
      <c r="R1883"/>
      <c r="S1883"/>
      <c r="T1883"/>
      <c r="U1883"/>
      <c r="V1883"/>
      <c r="W1883">
        <v>18</v>
      </c>
    </row>
    <row r="1884" spans="1:23">
      <c r="A1884"/>
      <c r="B1884" t="s">
        <v>146</v>
      </c>
      <c r="C1884" t="s">
        <v>146</v>
      </c>
      <c r="D1884" t="s">
        <v>37</v>
      </c>
      <c r="E1884" t="s">
        <v>38</v>
      </c>
      <c r="F1884" t="str">
        <f>"0001961"</f>
        <v>0001961</v>
      </c>
      <c r="G1884">
        <v>1</v>
      </c>
      <c r="H1884" t="str">
        <f>"00000000"</f>
        <v>00000000</v>
      </c>
      <c r="I1884" t="s">
        <v>39</v>
      </c>
      <c r="J1884"/>
      <c r="K1884">
        <v>237.29</v>
      </c>
      <c r="L1884">
        <v>0.0</v>
      </c>
      <c r="M1884"/>
      <c r="N1884"/>
      <c r="O1884">
        <v>42.71</v>
      </c>
      <c r="P1884">
        <v>0.0</v>
      </c>
      <c r="Q1884">
        <v>280.0</v>
      </c>
      <c r="R1884"/>
      <c r="S1884"/>
      <c r="T1884"/>
      <c r="U1884"/>
      <c r="V1884"/>
      <c r="W1884">
        <v>18</v>
      </c>
    </row>
    <row r="1885" spans="1:23">
      <c r="A1885"/>
      <c r="B1885" t="s">
        <v>146</v>
      </c>
      <c r="C1885" t="s">
        <v>146</v>
      </c>
      <c r="D1885" t="s">
        <v>37</v>
      </c>
      <c r="E1885" t="s">
        <v>38</v>
      </c>
      <c r="F1885" t="str">
        <f>"0001962"</f>
        <v>0001962</v>
      </c>
      <c r="G1885">
        <v>1</v>
      </c>
      <c r="H1885" t="str">
        <f>"00000000"</f>
        <v>00000000</v>
      </c>
      <c r="I1885" t="s">
        <v>39</v>
      </c>
      <c r="J1885"/>
      <c r="K1885">
        <v>406.78</v>
      </c>
      <c r="L1885">
        <v>0.0</v>
      </c>
      <c r="M1885"/>
      <c r="N1885"/>
      <c r="O1885">
        <v>73.22</v>
      </c>
      <c r="P1885">
        <v>0.0</v>
      </c>
      <c r="Q1885">
        <v>480.0</v>
      </c>
      <c r="R1885"/>
      <c r="S1885"/>
      <c r="T1885"/>
      <c r="U1885"/>
      <c r="V1885"/>
      <c r="W1885">
        <v>18</v>
      </c>
    </row>
    <row r="1886" spans="1:23">
      <c r="A1886"/>
      <c r="B1886" t="s">
        <v>146</v>
      </c>
      <c r="C1886" t="s">
        <v>146</v>
      </c>
      <c r="D1886" t="s">
        <v>37</v>
      </c>
      <c r="E1886" t="s">
        <v>38</v>
      </c>
      <c r="F1886" t="str">
        <f>"0001963"</f>
        <v>0001963</v>
      </c>
      <c r="G1886">
        <v>1</v>
      </c>
      <c r="H1886" t="str">
        <f>"00000000"</f>
        <v>00000000</v>
      </c>
      <c r="I1886" t="s">
        <v>39</v>
      </c>
      <c r="J1886"/>
      <c r="K1886">
        <v>381.36</v>
      </c>
      <c r="L1886">
        <v>0.0</v>
      </c>
      <c r="M1886"/>
      <c r="N1886"/>
      <c r="O1886">
        <v>68.64</v>
      </c>
      <c r="P1886">
        <v>0.0</v>
      </c>
      <c r="Q1886">
        <v>450.0</v>
      </c>
      <c r="R1886"/>
      <c r="S1886"/>
      <c r="T1886"/>
      <c r="U1886"/>
      <c r="V1886"/>
      <c r="W1886">
        <v>18</v>
      </c>
    </row>
    <row r="1887" spans="1:23">
      <c r="A1887"/>
      <c r="B1887" t="s">
        <v>146</v>
      </c>
      <c r="C1887" t="s">
        <v>146</v>
      </c>
      <c r="D1887" t="s">
        <v>37</v>
      </c>
      <c r="E1887" t="s">
        <v>38</v>
      </c>
      <c r="F1887" t="str">
        <f>"0001964"</f>
        <v>0001964</v>
      </c>
      <c r="G1887">
        <v>1</v>
      </c>
      <c r="H1887" t="str">
        <f>"00000000"</f>
        <v>00000000</v>
      </c>
      <c r="I1887" t="s">
        <v>39</v>
      </c>
      <c r="J1887"/>
      <c r="K1887">
        <v>415.25</v>
      </c>
      <c r="L1887">
        <v>0.0</v>
      </c>
      <c r="M1887"/>
      <c r="N1887"/>
      <c r="O1887">
        <v>74.75</v>
      </c>
      <c r="P1887">
        <v>0.0</v>
      </c>
      <c r="Q1887">
        <v>490.0</v>
      </c>
      <c r="R1887"/>
      <c r="S1887"/>
      <c r="T1887"/>
      <c r="U1887"/>
      <c r="V1887"/>
      <c r="W1887">
        <v>18</v>
      </c>
    </row>
    <row r="1888" spans="1:23">
      <c r="A1888"/>
      <c r="B1888" t="s">
        <v>146</v>
      </c>
      <c r="C1888" t="s">
        <v>146</v>
      </c>
      <c r="D1888" t="s">
        <v>37</v>
      </c>
      <c r="E1888" t="s">
        <v>38</v>
      </c>
      <c r="F1888" t="str">
        <f>"0001965"</f>
        <v>0001965</v>
      </c>
      <c r="G1888">
        <v>1</v>
      </c>
      <c r="H1888" t="str">
        <f>"00000000"</f>
        <v>00000000</v>
      </c>
      <c r="I1888" t="s">
        <v>39</v>
      </c>
      <c r="J1888"/>
      <c r="K1888">
        <v>338.98</v>
      </c>
      <c r="L1888">
        <v>0.0</v>
      </c>
      <c r="M1888"/>
      <c r="N1888"/>
      <c r="O1888">
        <v>61.02</v>
      </c>
      <c r="P1888">
        <v>0.0</v>
      </c>
      <c r="Q1888">
        <v>400.0</v>
      </c>
      <c r="R1888"/>
      <c r="S1888"/>
      <c r="T1888"/>
      <c r="U1888"/>
      <c r="V1888"/>
      <c r="W1888">
        <v>18</v>
      </c>
    </row>
    <row r="1889" spans="1:23">
      <c r="A1889"/>
      <c r="B1889" t="s">
        <v>146</v>
      </c>
      <c r="C1889" t="s">
        <v>146</v>
      </c>
      <c r="D1889" t="s">
        <v>37</v>
      </c>
      <c r="E1889" t="s">
        <v>38</v>
      </c>
      <c r="F1889" t="str">
        <f>"0001966"</f>
        <v>0001966</v>
      </c>
      <c r="G1889">
        <v>1</v>
      </c>
      <c r="H1889" t="str">
        <f>"00000000"</f>
        <v>00000000</v>
      </c>
      <c r="I1889" t="s">
        <v>39</v>
      </c>
      <c r="J1889"/>
      <c r="K1889">
        <v>372.88</v>
      </c>
      <c r="L1889">
        <v>0.0</v>
      </c>
      <c r="M1889"/>
      <c r="N1889"/>
      <c r="O1889">
        <v>67.12</v>
      </c>
      <c r="P1889">
        <v>0.0</v>
      </c>
      <c r="Q1889">
        <v>440.0</v>
      </c>
      <c r="R1889"/>
      <c r="S1889"/>
      <c r="T1889"/>
      <c r="U1889"/>
      <c r="V1889"/>
      <c r="W1889">
        <v>18</v>
      </c>
    </row>
    <row r="1890" spans="1:23">
      <c r="A1890"/>
      <c r="B1890" t="s">
        <v>146</v>
      </c>
      <c r="C1890" t="s">
        <v>146</v>
      </c>
      <c r="D1890" t="s">
        <v>37</v>
      </c>
      <c r="E1890" t="s">
        <v>38</v>
      </c>
      <c r="F1890" t="str">
        <f>"0001967"</f>
        <v>0001967</v>
      </c>
      <c r="G1890">
        <v>1</v>
      </c>
      <c r="H1890" t="str">
        <f>"00000000"</f>
        <v>00000000</v>
      </c>
      <c r="I1890" t="s">
        <v>39</v>
      </c>
      <c r="J1890"/>
      <c r="K1890">
        <v>325.42</v>
      </c>
      <c r="L1890">
        <v>0.0</v>
      </c>
      <c r="M1890"/>
      <c r="N1890"/>
      <c r="O1890">
        <v>58.58</v>
      </c>
      <c r="P1890">
        <v>0.0</v>
      </c>
      <c r="Q1890">
        <v>384.0</v>
      </c>
      <c r="R1890"/>
      <c r="S1890"/>
      <c r="T1890"/>
      <c r="U1890"/>
      <c r="V1890"/>
      <c r="W1890">
        <v>18</v>
      </c>
    </row>
    <row r="1891" spans="1:23">
      <c r="A1891"/>
      <c r="B1891" t="s">
        <v>146</v>
      </c>
      <c r="C1891" t="s">
        <v>146</v>
      </c>
      <c r="D1891" t="s">
        <v>37</v>
      </c>
      <c r="E1891" t="s">
        <v>38</v>
      </c>
      <c r="F1891" t="str">
        <f>"0001968"</f>
        <v>0001968</v>
      </c>
      <c r="G1891">
        <v>1</v>
      </c>
      <c r="H1891" t="str">
        <f>"00000000"</f>
        <v>00000000</v>
      </c>
      <c r="I1891" t="s">
        <v>39</v>
      </c>
      <c r="J1891"/>
      <c r="K1891">
        <v>190.68</v>
      </c>
      <c r="L1891">
        <v>0.0</v>
      </c>
      <c r="M1891"/>
      <c r="N1891"/>
      <c r="O1891">
        <v>34.32</v>
      </c>
      <c r="P1891">
        <v>0.0</v>
      </c>
      <c r="Q1891">
        <v>225.0</v>
      </c>
      <c r="R1891"/>
      <c r="S1891"/>
      <c r="T1891"/>
      <c r="U1891"/>
      <c r="V1891"/>
      <c r="W1891">
        <v>18</v>
      </c>
    </row>
    <row r="1892" spans="1:23">
      <c r="A1892"/>
      <c r="B1892" t="s">
        <v>146</v>
      </c>
      <c r="C1892" t="s">
        <v>146</v>
      </c>
      <c r="D1892" t="s">
        <v>37</v>
      </c>
      <c r="E1892" t="s">
        <v>38</v>
      </c>
      <c r="F1892" t="str">
        <f>"0001969"</f>
        <v>0001969</v>
      </c>
      <c r="G1892">
        <v>1</v>
      </c>
      <c r="H1892" t="str">
        <f>"00000000"</f>
        <v>00000000</v>
      </c>
      <c r="I1892" t="s">
        <v>39</v>
      </c>
      <c r="J1892"/>
      <c r="K1892">
        <v>233.05</v>
      </c>
      <c r="L1892">
        <v>0.0</v>
      </c>
      <c r="M1892"/>
      <c r="N1892"/>
      <c r="O1892">
        <v>41.95</v>
      </c>
      <c r="P1892">
        <v>0.0</v>
      </c>
      <c r="Q1892">
        <v>275.0</v>
      </c>
      <c r="R1892"/>
      <c r="S1892"/>
      <c r="T1892"/>
      <c r="U1892"/>
      <c r="V1892"/>
      <c r="W1892">
        <v>18</v>
      </c>
    </row>
    <row r="1893" spans="1:23">
      <c r="A1893"/>
      <c r="B1893" t="s">
        <v>146</v>
      </c>
      <c r="C1893" t="s">
        <v>146</v>
      </c>
      <c r="D1893" t="s">
        <v>37</v>
      </c>
      <c r="E1893" t="s">
        <v>38</v>
      </c>
      <c r="F1893" t="str">
        <f>"0001970"</f>
        <v>0001970</v>
      </c>
      <c r="G1893">
        <v>1</v>
      </c>
      <c r="H1893" t="str">
        <f>"00000000"</f>
        <v>00000000</v>
      </c>
      <c r="I1893" t="s">
        <v>39</v>
      </c>
      <c r="J1893"/>
      <c r="K1893">
        <v>559.32</v>
      </c>
      <c r="L1893">
        <v>0.0</v>
      </c>
      <c r="M1893"/>
      <c r="N1893"/>
      <c r="O1893">
        <v>100.68</v>
      </c>
      <c r="P1893">
        <v>0.0</v>
      </c>
      <c r="Q1893">
        <v>660.0</v>
      </c>
      <c r="R1893"/>
      <c r="S1893"/>
      <c r="T1893"/>
      <c r="U1893"/>
      <c r="V1893"/>
      <c r="W1893">
        <v>18</v>
      </c>
    </row>
    <row r="1894" spans="1:23">
      <c r="A1894"/>
      <c r="B1894" t="s">
        <v>146</v>
      </c>
      <c r="C1894" t="s">
        <v>146</v>
      </c>
      <c r="D1894" t="s">
        <v>37</v>
      </c>
      <c r="E1894" t="s">
        <v>38</v>
      </c>
      <c r="F1894" t="str">
        <f>"0001971"</f>
        <v>0001971</v>
      </c>
      <c r="G1894">
        <v>1</v>
      </c>
      <c r="H1894" t="str">
        <f>"00000000"</f>
        <v>00000000</v>
      </c>
      <c r="I1894" t="s">
        <v>39</v>
      </c>
      <c r="J1894"/>
      <c r="K1894">
        <v>305.08</v>
      </c>
      <c r="L1894">
        <v>0.0</v>
      </c>
      <c r="M1894"/>
      <c r="N1894"/>
      <c r="O1894">
        <v>54.92</v>
      </c>
      <c r="P1894">
        <v>0.0</v>
      </c>
      <c r="Q1894">
        <v>360.0</v>
      </c>
      <c r="R1894"/>
      <c r="S1894"/>
      <c r="T1894"/>
      <c r="U1894"/>
      <c r="V1894"/>
      <c r="W1894">
        <v>18</v>
      </c>
    </row>
    <row r="1895" spans="1:23">
      <c r="A1895"/>
      <c r="B1895" t="s">
        <v>146</v>
      </c>
      <c r="C1895" t="s">
        <v>146</v>
      </c>
      <c r="D1895" t="s">
        <v>37</v>
      </c>
      <c r="E1895" t="s">
        <v>38</v>
      </c>
      <c r="F1895" t="str">
        <f>"0001972"</f>
        <v>0001972</v>
      </c>
      <c r="G1895">
        <v>1</v>
      </c>
      <c r="H1895" t="str">
        <f>"00000000"</f>
        <v>00000000</v>
      </c>
      <c r="I1895" t="s">
        <v>39</v>
      </c>
      <c r="J1895"/>
      <c r="K1895">
        <v>444.92</v>
      </c>
      <c r="L1895">
        <v>0.0</v>
      </c>
      <c r="M1895"/>
      <c r="N1895"/>
      <c r="O1895">
        <v>80.08</v>
      </c>
      <c r="P1895">
        <v>0.0</v>
      </c>
      <c r="Q1895">
        <v>525.0</v>
      </c>
      <c r="R1895"/>
      <c r="S1895"/>
      <c r="T1895"/>
      <c r="U1895"/>
      <c r="V1895"/>
      <c r="W1895">
        <v>18</v>
      </c>
    </row>
    <row r="1896" spans="1:23">
      <c r="A1896"/>
      <c r="B1896" t="s">
        <v>146</v>
      </c>
      <c r="C1896" t="s">
        <v>146</v>
      </c>
      <c r="D1896" t="s">
        <v>37</v>
      </c>
      <c r="E1896" t="s">
        <v>38</v>
      </c>
      <c r="F1896" t="str">
        <f>"0001973"</f>
        <v>0001973</v>
      </c>
      <c r="G1896">
        <v>1</v>
      </c>
      <c r="H1896" t="str">
        <f>"00000000"</f>
        <v>00000000</v>
      </c>
      <c r="I1896" t="s">
        <v>39</v>
      </c>
      <c r="J1896"/>
      <c r="K1896">
        <v>406.78</v>
      </c>
      <c r="L1896">
        <v>0.0</v>
      </c>
      <c r="M1896"/>
      <c r="N1896"/>
      <c r="O1896">
        <v>73.22</v>
      </c>
      <c r="P1896">
        <v>0.0</v>
      </c>
      <c r="Q1896">
        <v>480.0</v>
      </c>
      <c r="R1896"/>
      <c r="S1896"/>
      <c r="T1896"/>
      <c r="U1896"/>
      <c r="V1896"/>
      <c r="W1896">
        <v>18</v>
      </c>
    </row>
    <row r="1897" spans="1:23">
      <c r="A1897"/>
      <c r="B1897" t="s">
        <v>146</v>
      </c>
      <c r="C1897" t="s">
        <v>146</v>
      </c>
      <c r="D1897" t="s">
        <v>37</v>
      </c>
      <c r="E1897" t="s">
        <v>38</v>
      </c>
      <c r="F1897" t="str">
        <f>"0001974"</f>
        <v>0001974</v>
      </c>
      <c r="G1897">
        <v>1</v>
      </c>
      <c r="H1897" t="str">
        <f>"00000000"</f>
        <v>00000000</v>
      </c>
      <c r="I1897" t="s">
        <v>39</v>
      </c>
      <c r="J1897"/>
      <c r="K1897">
        <v>355.93</v>
      </c>
      <c r="L1897">
        <v>0.0</v>
      </c>
      <c r="M1897"/>
      <c r="N1897"/>
      <c r="O1897">
        <v>64.07</v>
      </c>
      <c r="P1897">
        <v>0.0</v>
      </c>
      <c r="Q1897">
        <v>420.0</v>
      </c>
      <c r="R1897"/>
      <c r="S1897"/>
      <c r="T1897"/>
      <c r="U1897"/>
      <c r="V1897"/>
      <c r="W1897">
        <v>18</v>
      </c>
    </row>
    <row r="1898" spans="1:23">
      <c r="A1898"/>
      <c r="B1898" t="s">
        <v>146</v>
      </c>
      <c r="C1898" t="s">
        <v>146</v>
      </c>
      <c r="D1898" t="s">
        <v>37</v>
      </c>
      <c r="E1898" t="s">
        <v>38</v>
      </c>
      <c r="F1898" t="str">
        <f>"0001975"</f>
        <v>0001975</v>
      </c>
      <c r="G1898">
        <v>1</v>
      </c>
      <c r="H1898" t="str">
        <f>"00000000"</f>
        <v>00000000</v>
      </c>
      <c r="I1898" t="s">
        <v>39</v>
      </c>
      <c r="J1898"/>
      <c r="K1898">
        <v>406.78</v>
      </c>
      <c r="L1898">
        <v>0.0</v>
      </c>
      <c r="M1898"/>
      <c r="N1898"/>
      <c r="O1898">
        <v>73.22</v>
      </c>
      <c r="P1898">
        <v>0.0</v>
      </c>
      <c r="Q1898">
        <v>480.0</v>
      </c>
      <c r="R1898"/>
      <c r="S1898"/>
      <c r="T1898"/>
      <c r="U1898"/>
      <c r="V1898"/>
      <c r="W1898">
        <v>18</v>
      </c>
    </row>
    <row r="1899" spans="1:23">
      <c r="A1899"/>
      <c r="B1899" t="s">
        <v>146</v>
      </c>
      <c r="C1899" t="s">
        <v>146</v>
      </c>
      <c r="D1899" t="s">
        <v>37</v>
      </c>
      <c r="E1899" t="s">
        <v>38</v>
      </c>
      <c r="F1899" t="str">
        <f>"0001976"</f>
        <v>0001976</v>
      </c>
      <c r="G1899">
        <v>1</v>
      </c>
      <c r="H1899" t="str">
        <f>"00000000"</f>
        <v>00000000</v>
      </c>
      <c r="I1899" t="s">
        <v>39</v>
      </c>
      <c r="J1899"/>
      <c r="K1899">
        <v>284.75</v>
      </c>
      <c r="L1899">
        <v>0.0</v>
      </c>
      <c r="M1899"/>
      <c r="N1899"/>
      <c r="O1899">
        <v>51.25</v>
      </c>
      <c r="P1899">
        <v>0.0</v>
      </c>
      <c r="Q1899">
        <v>336.0</v>
      </c>
      <c r="R1899"/>
      <c r="S1899"/>
      <c r="T1899"/>
      <c r="U1899"/>
      <c r="V1899"/>
      <c r="W1899">
        <v>18</v>
      </c>
    </row>
    <row r="1900" spans="1:23">
      <c r="A1900"/>
      <c r="B1900" t="s">
        <v>146</v>
      </c>
      <c r="C1900" t="s">
        <v>146</v>
      </c>
      <c r="D1900" t="s">
        <v>37</v>
      </c>
      <c r="E1900" t="s">
        <v>38</v>
      </c>
      <c r="F1900" t="str">
        <f>"0001977"</f>
        <v>0001977</v>
      </c>
      <c r="G1900">
        <v>1</v>
      </c>
      <c r="H1900" t="str">
        <f>"00000000"</f>
        <v>00000000</v>
      </c>
      <c r="I1900" t="s">
        <v>39</v>
      </c>
      <c r="J1900"/>
      <c r="K1900">
        <v>381.36</v>
      </c>
      <c r="L1900">
        <v>0.0</v>
      </c>
      <c r="M1900"/>
      <c r="N1900"/>
      <c r="O1900">
        <v>68.64</v>
      </c>
      <c r="P1900">
        <v>0.0</v>
      </c>
      <c r="Q1900">
        <v>450.0</v>
      </c>
      <c r="R1900"/>
      <c r="S1900"/>
      <c r="T1900"/>
      <c r="U1900"/>
      <c r="V1900"/>
      <c r="W1900">
        <v>18</v>
      </c>
    </row>
    <row r="1901" spans="1:23">
      <c r="A1901"/>
      <c r="B1901" t="s">
        <v>146</v>
      </c>
      <c r="C1901" t="s">
        <v>146</v>
      </c>
      <c r="D1901" t="s">
        <v>37</v>
      </c>
      <c r="E1901" t="s">
        <v>38</v>
      </c>
      <c r="F1901" t="str">
        <f>"0001978"</f>
        <v>0001978</v>
      </c>
      <c r="G1901">
        <v>1</v>
      </c>
      <c r="H1901" t="str">
        <f>"00000000"</f>
        <v>00000000</v>
      </c>
      <c r="I1901" t="s">
        <v>39</v>
      </c>
      <c r="J1901"/>
      <c r="K1901">
        <v>271.19</v>
      </c>
      <c r="L1901">
        <v>0.0</v>
      </c>
      <c r="M1901"/>
      <c r="N1901"/>
      <c r="O1901">
        <v>48.81</v>
      </c>
      <c r="P1901">
        <v>0.0</v>
      </c>
      <c r="Q1901">
        <v>320.0</v>
      </c>
      <c r="R1901"/>
      <c r="S1901"/>
      <c r="T1901"/>
      <c r="U1901"/>
      <c r="V1901"/>
      <c r="W1901">
        <v>18</v>
      </c>
    </row>
    <row r="1902" spans="1:23">
      <c r="A1902"/>
      <c r="B1902" t="s">
        <v>146</v>
      </c>
      <c r="C1902" t="s">
        <v>146</v>
      </c>
      <c r="D1902" t="s">
        <v>37</v>
      </c>
      <c r="E1902" t="s">
        <v>38</v>
      </c>
      <c r="F1902" t="str">
        <f>"0001979"</f>
        <v>0001979</v>
      </c>
      <c r="G1902">
        <v>1</v>
      </c>
      <c r="H1902" t="str">
        <f>"00000000"</f>
        <v>00000000</v>
      </c>
      <c r="I1902" t="s">
        <v>39</v>
      </c>
      <c r="J1902"/>
      <c r="K1902">
        <v>440.68</v>
      </c>
      <c r="L1902">
        <v>0.0</v>
      </c>
      <c r="M1902"/>
      <c r="N1902"/>
      <c r="O1902">
        <v>79.32</v>
      </c>
      <c r="P1902">
        <v>0.0</v>
      </c>
      <c r="Q1902">
        <v>520.0</v>
      </c>
      <c r="R1902"/>
      <c r="S1902"/>
      <c r="T1902"/>
      <c r="U1902"/>
      <c r="V1902"/>
      <c r="W1902">
        <v>18</v>
      </c>
    </row>
    <row r="1903" spans="1:23">
      <c r="A1903"/>
      <c r="B1903" t="s">
        <v>146</v>
      </c>
      <c r="C1903" t="s">
        <v>146</v>
      </c>
      <c r="D1903" t="s">
        <v>37</v>
      </c>
      <c r="E1903" t="s">
        <v>38</v>
      </c>
      <c r="F1903" t="str">
        <f>"0001980"</f>
        <v>0001980</v>
      </c>
      <c r="G1903">
        <v>1</v>
      </c>
      <c r="H1903" t="str">
        <f>"00000000"</f>
        <v>00000000</v>
      </c>
      <c r="I1903" t="s">
        <v>39</v>
      </c>
      <c r="J1903"/>
      <c r="K1903">
        <v>237.29</v>
      </c>
      <c r="L1903">
        <v>0.0</v>
      </c>
      <c r="M1903"/>
      <c r="N1903"/>
      <c r="O1903">
        <v>42.71</v>
      </c>
      <c r="P1903">
        <v>0.0</v>
      </c>
      <c r="Q1903">
        <v>280.0</v>
      </c>
      <c r="R1903"/>
      <c r="S1903"/>
      <c r="T1903"/>
      <c r="U1903"/>
      <c r="V1903"/>
      <c r="W1903">
        <v>18</v>
      </c>
    </row>
    <row r="1904" spans="1:23">
      <c r="A1904"/>
      <c r="B1904" t="s">
        <v>146</v>
      </c>
      <c r="C1904" t="s">
        <v>146</v>
      </c>
      <c r="D1904" t="s">
        <v>37</v>
      </c>
      <c r="E1904" t="s">
        <v>38</v>
      </c>
      <c r="F1904" t="str">
        <f>"0001981"</f>
        <v>0001981</v>
      </c>
      <c r="G1904">
        <v>1</v>
      </c>
      <c r="H1904" t="str">
        <f>"00000000"</f>
        <v>00000000</v>
      </c>
      <c r="I1904" t="s">
        <v>39</v>
      </c>
      <c r="J1904"/>
      <c r="K1904">
        <v>279.66</v>
      </c>
      <c r="L1904">
        <v>0.0</v>
      </c>
      <c r="M1904"/>
      <c r="N1904"/>
      <c r="O1904">
        <v>50.34</v>
      </c>
      <c r="P1904">
        <v>0.0</v>
      </c>
      <c r="Q1904">
        <v>330.0</v>
      </c>
      <c r="R1904"/>
      <c r="S1904"/>
      <c r="T1904"/>
      <c r="U1904"/>
      <c r="V1904"/>
      <c r="W1904">
        <v>18</v>
      </c>
    </row>
    <row r="1905" spans="1:23">
      <c r="A1905"/>
      <c r="B1905" t="s">
        <v>146</v>
      </c>
      <c r="C1905" t="s">
        <v>146</v>
      </c>
      <c r="D1905" t="s">
        <v>37</v>
      </c>
      <c r="E1905" t="s">
        <v>38</v>
      </c>
      <c r="F1905" t="str">
        <f>"0001982"</f>
        <v>0001982</v>
      </c>
      <c r="G1905">
        <v>1</v>
      </c>
      <c r="H1905" t="str">
        <f>"00000000"</f>
        <v>00000000</v>
      </c>
      <c r="I1905" t="s">
        <v>39</v>
      </c>
      <c r="J1905"/>
      <c r="K1905">
        <v>203.39</v>
      </c>
      <c r="L1905">
        <v>0.0</v>
      </c>
      <c r="M1905"/>
      <c r="N1905"/>
      <c r="O1905">
        <v>36.61</v>
      </c>
      <c r="P1905">
        <v>0.0</v>
      </c>
      <c r="Q1905">
        <v>240.0</v>
      </c>
      <c r="R1905"/>
      <c r="S1905"/>
      <c r="T1905"/>
      <c r="U1905"/>
      <c r="V1905"/>
      <c r="W1905">
        <v>18</v>
      </c>
    </row>
    <row r="1906" spans="1:23">
      <c r="A1906"/>
      <c r="B1906" t="s">
        <v>2</v>
      </c>
      <c r="C1906" t="s">
        <v>2</v>
      </c>
      <c r="D1906" t="s">
        <v>37</v>
      </c>
      <c r="E1906" t="s">
        <v>38</v>
      </c>
      <c r="F1906" t="str">
        <f>"0001983"</f>
        <v>0001983</v>
      </c>
      <c r="G1906">
        <v>1</v>
      </c>
      <c r="H1906" t="str">
        <f>"00000000"</f>
        <v>00000000</v>
      </c>
      <c r="I1906" t="s">
        <v>39</v>
      </c>
      <c r="J1906"/>
      <c r="K1906">
        <v>305.08</v>
      </c>
      <c r="L1906">
        <v>0.0</v>
      </c>
      <c r="M1906"/>
      <c r="N1906"/>
      <c r="O1906">
        <v>54.92</v>
      </c>
      <c r="P1906">
        <v>0.0</v>
      </c>
      <c r="Q1906">
        <v>360.0</v>
      </c>
      <c r="R1906"/>
      <c r="S1906"/>
      <c r="T1906"/>
      <c r="U1906"/>
      <c r="V1906"/>
      <c r="W1906">
        <v>18</v>
      </c>
    </row>
    <row r="1907" spans="1:23">
      <c r="A1907"/>
      <c r="B1907" t="s">
        <v>2</v>
      </c>
      <c r="C1907" t="s">
        <v>2</v>
      </c>
      <c r="D1907" t="s">
        <v>37</v>
      </c>
      <c r="E1907" t="s">
        <v>38</v>
      </c>
      <c r="F1907" t="str">
        <f>"0001984"</f>
        <v>0001984</v>
      </c>
      <c r="G1907">
        <v>1</v>
      </c>
      <c r="H1907" t="str">
        <f>"00000000"</f>
        <v>00000000</v>
      </c>
      <c r="I1907" t="s">
        <v>39</v>
      </c>
      <c r="J1907"/>
      <c r="K1907">
        <v>296.61</v>
      </c>
      <c r="L1907">
        <v>0.0</v>
      </c>
      <c r="M1907"/>
      <c r="N1907"/>
      <c r="O1907">
        <v>53.39</v>
      </c>
      <c r="P1907">
        <v>0.0</v>
      </c>
      <c r="Q1907">
        <v>350.0</v>
      </c>
      <c r="R1907"/>
      <c r="S1907"/>
      <c r="T1907"/>
      <c r="U1907"/>
      <c r="V1907"/>
      <c r="W1907">
        <v>18</v>
      </c>
    </row>
    <row r="1908" spans="1:23">
      <c r="A1908"/>
      <c r="B1908" t="s">
        <v>2</v>
      </c>
      <c r="C1908" t="s">
        <v>2</v>
      </c>
      <c r="D1908" t="s">
        <v>37</v>
      </c>
      <c r="E1908" t="s">
        <v>38</v>
      </c>
      <c r="F1908" t="str">
        <f>"0001985"</f>
        <v>0001985</v>
      </c>
      <c r="G1908">
        <v>1</v>
      </c>
      <c r="H1908" t="str">
        <f>"00000000"</f>
        <v>00000000</v>
      </c>
      <c r="I1908" t="s">
        <v>39</v>
      </c>
      <c r="J1908"/>
      <c r="K1908">
        <v>366.1</v>
      </c>
      <c r="L1908">
        <v>0.0</v>
      </c>
      <c r="M1908"/>
      <c r="N1908"/>
      <c r="O1908">
        <v>65.9</v>
      </c>
      <c r="P1908">
        <v>0.0</v>
      </c>
      <c r="Q1908">
        <v>432.0</v>
      </c>
      <c r="R1908"/>
      <c r="S1908"/>
      <c r="T1908"/>
      <c r="U1908"/>
      <c r="V1908"/>
      <c r="W1908">
        <v>18</v>
      </c>
    </row>
    <row r="1909" spans="1:23">
      <c r="A1909"/>
      <c r="B1909" t="s">
        <v>2</v>
      </c>
      <c r="C1909" t="s">
        <v>2</v>
      </c>
      <c r="D1909" t="s">
        <v>37</v>
      </c>
      <c r="E1909" t="s">
        <v>38</v>
      </c>
      <c r="F1909" t="str">
        <f>"0001986"</f>
        <v>0001986</v>
      </c>
      <c r="G1909">
        <v>1</v>
      </c>
      <c r="H1909" t="str">
        <f>"00000000"</f>
        <v>00000000</v>
      </c>
      <c r="I1909" t="s">
        <v>39</v>
      </c>
      <c r="J1909"/>
      <c r="K1909">
        <v>228.81</v>
      </c>
      <c r="L1909">
        <v>0.0</v>
      </c>
      <c r="M1909"/>
      <c r="N1909"/>
      <c r="O1909">
        <v>41.19</v>
      </c>
      <c r="P1909">
        <v>0.0</v>
      </c>
      <c r="Q1909">
        <v>270.0</v>
      </c>
      <c r="R1909"/>
      <c r="S1909"/>
      <c r="T1909"/>
      <c r="U1909"/>
      <c r="V1909"/>
      <c r="W1909">
        <v>18</v>
      </c>
    </row>
    <row r="1910" spans="1:23">
      <c r="A1910"/>
      <c r="B1910" t="s">
        <v>2</v>
      </c>
      <c r="C1910" t="s">
        <v>2</v>
      </c>
      <c r="D1910" t="s">
        <v>37</v>
      </c>
      <c r="E1910" t="s">
        <v>38</v>
      </c>
      <c r="F1910" t="str">
        <f>"0001987"</f>
        <v>0001987</v>
      </c>
      <c r="G1910">
        <v>1</v>
      </c>
      <c r="H1910" t="str">
        <f>"00000000"</f>
        <v>00000000</v>
      </c>
      <c r="I1910" t="s">
        <v>39</v>
      </c>
      <c r="J1910"/>
      <c r="K1910">
        <v>338.98</v>
      </c>
      <c r="L1910">
        <v>0.0</v>
      </c>
      <c r="M1910"/>
      <c r="N1910"/>
      <c r="O1910">
        <v>61.02</v>
      </c>
      <c r="P1910">
        <v>0.0</v>
      </c>
      <c r="Q1910">
        <v>400.0</v>
      </c>
      <c r="R1910"/>
      <c r="S1910"/>
      <c r="T1910"/>
      <c r="U1910"/>
      <c r="V1910"/>
      <c r="W1910">
        <v>18</v>
      </c>
    </row>
    <row r="1911" spans="1:23">
      <c r="A1911"/>
      <c r="B1911" t="s">
        <v>2</v>
      </c>
      <c r="C1911" t="s">
        <v>2</v>
      </c>
      <c r="D1911" t="s">
        <v>37</v>
      </c>
      <c r="E1911" t="s">
        <v>38</v>
      </c>
      <c r="F1911" t="str">
        <f>"0001988"</f>
        <v>0001988</v>
      </c>
      <c r="G1911">
        <v>1</v>
      </c>
      <c r="H1911" t="str">
        <f>"00000000"</f>
        <v>00000000</v>
      </c>
      <c r="I1911" t="s">
        <v>39</v>
      </c>
      <c r="J1911"/>
      <c r="K1911">
        <v>244.07</v>
      </c>
      <c r="L1911">
        <v>0.0</v>
      </c>
      <c r="M1911"/>
      <c r="N1911"/>
      <c r="O1911">
        <v>43.93</v>
      </c>
      <c r="P1911">
        <v>0.0</v>
      </c>
      <c r="Q1911">
        <v>288.0</v>
      </c>
      <c r="R1911"/>
      <c r="S1911"/>
      <c r="T1911"/>
      <c r="U1911"/>
      <c r="V1911"/>
      <c r="W1911">
        <v>18</v>
      </c>
    </row>
    <row r="1912" spans="1:23">
      <c r="A1912"/>
      <c r="B1912" t="s">
        <v>2</v>
      </c>
      <c r="C1912" t="s">
        <v>2</v>
      </c>
      <c r="D1912" t="s">
        <v>37</v>
      </c>
      <c r="E1912" t="s">
        <v>38</v>
      </c>
      <c r="F1912" t="str">
        <f>"0001989"</f>
        <v>0001989</v>
      </c>
      <c r="G1912">
        <v>1</v>
      </c>
      <c r="H1912" t="str">
        <f>"00000000"</f>
        <v>00000000</v>
      </c>
      <c r="I1912" t="s">
        <v>39</v>
      </c>
      <c r="J1912"/>
      <c r="K1912">
        <v>372.88</v>
      </c>
      <c r="L1912">
        <v>0.0</v>
      </c>
      <c r="M1912"/>
      <c r="N1912"/>
      <c r="O1912">
        <v>67.12</v>
      </c>
      <c r="P1912">
        <v>0.0</v>
      </c>
      <c r="Q1912">
        <v>440.0</v>
      </c>
      <c r="R1912"/>
      <c r="S1912"/>
      <c r="T1912"/>
      <c r="U1912"/>
      <c r="V1912"/>
      <c r="W1912">
        <v>18</v>
      </c>
    </row>
    <row r="1913" spans="1:23">
      <c r="A1913"/>
      <c r="B1913" t="s">
        <v>2</v>
      </c>
      <c r="C1913" t="s">
        <v>2</v>
      </c>
      <c r="D1913" t="s">
        <v>37</v>
      </c>
      <c r="E1913" t="s">
        <v>38</v>
      </c>
      <c r="F1913" t="str">
        <f>"0001990"</f>
        <v>0001990</v>
      </c>
      <c r="G1913">
        <v>1</v>
      </c>
      <c r="H1913" t="str">
        <f>"00000000"</f>
        <v>00000000</v>
      </c>
      <c r="I1913" t="s">
        <v>39</v>
      </c>
      <c r="J1913"/>
      <c r="K1913">
        <v>305.08</v>
      </c>
      <c r="L1913">
        <v>0.0</v>
      </c>
      <c r="M1913"/>
      <c r="N1913"/>
      <c r="O1913">
        <v>54.92</v>
      </c>
      <c r="P1913">
        <v>0.0</v>
      </c>
      <c r="Q1913">
        <v>360.0</v>
      </c>
      <c r="R1913"/>
      <c r="S1913"/>
      <c r="T1913"/>
      <c r="U1913"/>
      <c r="V1913"/>
      <c r="W1913">
        <v>18</v>
      </c>
    </row>
    <row r="1914" spans="1:23">
      <c r="A1914"/>
      <c r="B1914" t="s">
        <v>2</v>
      </c>
      <c r="C1914" t="s">
        <v>2</v>
      </c>
      <c r="D1914" t="s">
        <v>37</v>
      </c>
      <c r="E1914" t="s">
        <v>38</v>
      </c>
      <c r="F1914" t="str">
        <f>"0001991"</f>
        <v>0001991</v>
      </c>
      <c r="G1914">
        <v>1</v>
      </c>
      <c r="H1914" t="str">
        <f>"00000000"</f>
        <v>00000000</v>
      </c>
      <c r="I1914" t="s">
        <v>39</v>
      </c>
      <c r="J1914"/>
      <c r="K1914">
        <v>237.29</v>
      </c>
      <c r="L1914">
        <v>0.0</v>
      </c>
      <c r="M1914"/>
      <c r="N1914"/>
      <c r="O1914">
        <v>42.71</v>
      </c>
      <c r="P1914">
        <v>0.0</v>
      </c>
      <c r="Q1914">
        <v>280.0</v>
      </c>
      <c r="R1914"/>
      <c r="S1914"/>
      <c r="T1914"/>
      <c r="U1914"/>
      <c r="V1914"/>
      <c r="W1914">
        <v>18</v>
      </c>
    </row>
    <row r="1915" spans="1:23">
      <c r="A1915"/>
      <c r="B1915" t="s">
        <v>2</v>
      </c>
      <c r="C1915" t="s">
        <v>2</v>
      </c>
      <c r="D1915" t="s">
        <v>37</v>
      </c>
      <c r="E1915" t="s">
        <v>38</v>
      </c>
      <c r="F1915" t="str">
        <f>"0001992"</f>
        <v>0001992</v>
      </c>
      <c r="G1915">
        <v>1</v>
      </c>
      <c r="H1915" t="str">
        <f>"00000000"</f>
        <v>00000000</v>
      </c>
      <c r="I1915" t="s">
        <v>39</v>
      </c>
      <c r="J1915"/>
      <c r="K1915">
        <v>355.93</v>
      </c>
      <c r="L1915">
        <v>0.0</v>
      </c>
      <c r="M1915"/>
      <c r="N1915"/>
      <c r="O1915">
        <v>64.07</v>
      </c>
      <c r="P1915">
        <v>0.0</v>
      </c>
      <c r="Q1915">
        <v>420.0</v>
      </c>
      <c r="R1915"/>
      <c r="S1915"/>
      <c r="T1915"/>
      <c r="U1915"/>
      <c r="V1915"/>
      <c r="W1915">
        <v>18</v>
      </c>
    </row>
    <row r="1916" spans="1:23">
      <c r="A1916"/>
      <c r="B1916" t="s">
        <v>2</v>
      </c>
      <c r="C1916" t="s">
        <v>2</v>
      </c>
      <c r="D1916" t="s">
        <v>37</v>
      </c>
      <c r="E1916" t="s">
        <v>38</v>
      </c>
      <c r="F1916" t="str">
        <f>"0001993"</f>
        <v>0001993</v>
      </c>
      <c r="G1916">
        <v>1</v>
      </c>
      <c r="H1916" t="str">
        <f>"00000000"</f>
        <v>00000000</v>
      </c>
      <c r="I1916" t="s">
        <v>39</v>
      </c>
      <c r="J1916"/>
      <c r="K1916">
        <v>254.24</v>
      </c>
      <c r="L1916">
        <v>0.0</v>
      </c>
      <c r="M1916"/>
      <c r="N1916"/>
      <c r="O1916">
        <v>45.76</v>
      </c>
      <c r="P1916">
        <v>0.0</v>
      </c>
      <c r="Q1916">
        <v>300.0</v>
      </c>
      <c r="R1916"/>
      <c r="S1916"/>
      <c r="T1916"/>
      <c r="U1916"/>
      <c r="V1916"/>
      <c r="W1916">
        <v>18</v>
      </c>
    </row>
    <row r="1917" spans="1:23">
      <c r="A1917"/>
      <c r="B1917" t="s">
        <v>2</v>
      </c>
      <c r="C1917" t="s">
        <v>2</v>
      </c>
      <c r="D1917" t="s">
        <v>37</v>
      </c>
      <c r="E1917" t="s">
        <v>38</v>
      </c>
      <c r="F1917" t="str">
        <f>"0001994"</f>
        <v>0001994</v>
      </c>
      <c r="G1917">
        <v>1</v>
      </c>
      <c r="H1917" t="str">
        <f>"00000000"</f>
        <v>00000000</v>
      </c>
      <c r="I1917" t="s">
        <v>39</v>
      </c>
      <c r="J1917"/>
      <c r="K1917">
        <v>322.03</v>
      </c>
      <c r="L1917">
        <v>0.0</v>
      </c>
      <c r="M1917"/>
      <c r="N1917"/>
      <c r="O1917">
        <v>57.97</v>
      </c>
      <c r="P1917">
        <v>0.0</v>
      </c>
      <c r="Q1917">
        <v>380.0</v>
      </c>
      <c r="R1917"/>
      <c r="S1917"/>
      <c r="T1917"/>
      <c r="U1917"/>
      <c r="V1917"/>
      <c r="W1917">
        <v>18</v>
      </c>
    </row>
    <row r="1918" spans="1:23">
      <c r="A1918"/>
      <c r="B1918" t="s">
        <v>2</v>
      </c>
      <c r="C1918" t="s">
        <v>2</v>
      </c>
      <c r="D1918" t="s">
        <v>37</v>
      </c>
      <c r="E1918" t="s">
        <v>38</v>
      </c>
      <c r="F1918" t="str">
        <f>"0001995"</f>
        <v>0001995</v>
      </c>
      <c r="G1918">
        <v>1</v>
      </c>
      <c r="H1918" t="str">
        <f>"00000000"</f>
        <v>00000000</v>
      </c>
      <c r="I1918" t="s">
        <v>39</v>
      </c>
      <c r="J1918"/>
      <c r="K1918">
        <v>271.19</v>
      </c>
      <c r="L1918">
        <v>0.0</v>
      </c>
      <c r="M1918"/>
      <c r="N1918"/>
      <c r="O1918">
        <v>48.81</v>
      </c>
      <c r="P1918">
        <v>0.0</v>
      </c>
      <c r="Q1918">
        <v>320.0</v>
      </c>
      <c r="R1918"/>
      <c r="S1918"/>
      <c r="T1918"/>
      <c r="U1918"/>
      <c r="V1918"/>
      <c r="W1918">
        <v>18</v>
      </c>
    </row>
    <row r="1919" spans="1:23">
      <c r="A1919"/>
      <c r="B1919" t="s">
        <v>2</v>
      </c>
      <c r="C1919" t="s">
        <v>2</v>
      </c>
      <c r="D1919" t="s">
        <v>37</v>
      </c>
      <c r="E1919" t="s">
        <v>38</v>
      </c>
      <c r="F1919" t="str">
        <f>"0001996"</f>
        <v>0001996</v>
      </c>
      <c r="G1919">
        <v>1</v>
      </c>
      <c r="H1919" t="str">
        <f>"00000000"</f>
        <v>00000000</v>
      </c>
      <c r="I1919" t="s">
        <v>39</v>
      </c>
      <c r="J1919"/>
      <c r="K1919">
        <v>271.19</v>
      </c>
      <c r="L1919">
        <v>0.0</v>
      </c>
      <c r="M1919"/>
      <c r="N1919"/>
      <c r="O1919">
        <v>48.81</v>
      </c>
      <c r="P1919">
        <v>0.0</v>
      </c>
      <c r="Q1919">
        <v>320.0</v>
      </c>
      <c r="R1919"/>
      <c r="S1919"/>
      <c r="T1919"/>
      <c r="U1919"/>
      <c r="V1919"/>
      <c r="W1919">
        <v>18</v>
      </c>
    </row>
    <row r="1920" spans="1:23">
      <c r="A1920"/>
      <c r="B1920" t="s">
        <v>52</v>
      </c>
      <c r="C1920" t="s">
        <v>52</v>
      </c>
      <c r="D1920" t="s">
        <v>147</v>
      </c>
      <c r="E1920" t="s">
        <v>38</v>
      </c>
      <c r="F1920" t="str">
        <f>"0000001"</f>
        <v>0000001</v>
      </c>
      <c r="G1920">
        <v>1</v>
      </c>
      <c r="H1920" t="str">
        <f>"43166542"</f>
        <v>43166542</v>
      </c>
      <c r="I1920" t="s">
        <v>53</v>
      </c>
      <c r="J1920"/>
      <c r="K1920">
        <v>-1029.66</v>
      </c>
      <c r="L1920">
        <v>0.0</v>
      </c>
      <c r="M1920"/>
      <c r="N1920"/>
      <c r="O1920">
        <v>-185.34</v>
      </c>
      <c r="P1920">
        <v>0.0</v>
      </c>
      <c r="Q1920">
        <v>-1215.0</v>
      </c>
      <c r="R1920"/>
      <c r="S1920" t="s">
        <v>52</v>
      </c>
      <c r="T1920" t="s">
        <v>37</v>
      </c>
      <c r="U1920" t="s">
        <v>38</v>
      </c>
      <c r="V1920" t="s">
        <v>148</v>
      </c>
      <c r="W1920">
        <v>18</v>
      </c>
    </row>
    <row r="1921" spans="1:23">
      <c r="A1921"/>
      <c r="B1921" t="s">
        <v>115</v>
      </c>
      <c r="C1921" t="s">
        <v>115</v>
      </c>
      <c r="D1921" t="s">
        <v>147</v>
      </c>
      <c r="E1921" t="s">
        <v>34</v>
      </c>
      <c r="F1921" t="str">
        <f>"0000003"</f>
        <v>0000003</v>
      </c>
      <c r="G1921">
        <v>6</v>
      </c>
      <c r="H1921" t="str">
        <f>"20555533943"</f>
        <v>20555533943</v>
      </c>
      <c r="I1921" t="s">
        <v>116</v>
      </c>
      <c r="J1921"/>
      <c r="K1921">
        <v>-25.42</v>
      </c>
      <c r="L1921">
        <v>0.0</v>
      </c>
      <c r="M1921"/>
      <c r="N1921"/>
      <c r="O1921">
        <v>-4.58</v>
      </c>
      <c r="P1921">
        <v>0.0</v>
      </c>
      <c r="Q1921">
        <v>-30.0</v>
      </c>
      <c r="R1921"/>
      <c r="S1921" t="s">
        <v>115</v>
      </c>
      <c r="T1921" t="s">
        <v>33</v>
      </c>
      <c r="U1921" t="s">
        <v>34</v>
      </c>
      <c r="V1921" t="s">
        <v>149</v>
      </c>
      <c r="W1921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2022-01-31T10:33:04-06:00</dcterms:created>
  <dcterms:modified xsi:type="dcterms:W3CDTF">2022-01-31T10:33:04-06:00</dcterms:modified>
  <dc:title>Untitled Spreadsheet</dc:title>
  <dc:description/>
  <dc:subject/>
  <cp:keywords/>
  <cp:category/>
</cp:coreProperties>
</file>